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AlleDaten\Projekte\Filmfinanz\stundenzettel\"/>
    </mc:Choice>
  </mc:AlternateContent>
  <xr:revisionPtr revIDLastSave="0" documentId="13_ncr:1_{3FEED411-F4C6-443F-82CD-971DE8085346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Eingabe" sheetId="10" r:id="rId1"/>
  </sheets>
  <definedNames>
    <definedName name="AnzahlTage" localSheetId="0">Eingabe!$X$15:$X$21</definedName>
    <definedName name="AusWahl1">Eingabe!$M$15:$S$21</definedName>
    <definedName name="AusWahl2">Eingabe!$B$15:$F$21</definedName>
    <definedName name="DatumBis" localSheetId="0">Eingabe!$F$7</definedName>
    <definedName name="DatumVon" localSheetId="0">Eingabe!$C$7</definedName>
    <definedName name="_xlnm.Print_Area" localSheetId="0">Eingabe!$A$1:$Z$33</definedName>
    <definedName name="FahrtOvertime">Eingabe!$I$5</definedName>
    <definedName name="FahrtZuschläge">Eingabe!$I$4</definedName>
    <definedName name="Fahrzeiten" localSheetId="0">Eingabe!$H$15:$H$21</definedName>
    <definedName name="GearbeiteteTage" localSheetId="0">Eingabe!$X$15:$X$21</definedName>
    <definedName name="MehrArbeit" localSheetId="0">Eingabe!#REF!</definedName>
    <definedName name="MehrarbeitAlles">Eingabe!$O$15:$O$21</definedName>
    <definedName name="Regel" localSheetId="0">Eingabe!$AH$1</definedName>
    <definedName name="Saldo10Plus" localSheetId="0">Eingabe!$Q$25</definedName>
    <definedName name="Saldo11plus" localSheetId="0">Eingabe!$R$25</definedName>
    <definedName name="SaldoKlärung">Eingabe!$S$25</definedName>
    <definedName name="SaldoMehrArb" localSheetId="0">Eingabe!$O$25</definedName>
    <definedName name="SaldoNachtarbeit" localSheetId="0">Eingabe!$W$25</definedName>
    <definedName name="SaldoSaArbeit" localSheetId="0">Eingabe!$U$25</definedName>
    <definedName name="SaldoSoArbeit" localSheetId="0">Eingabe!$V$25</definedName>
    <definedName name="SaldoZus100" localSheetId="0">Eingabe!$T$25</definedName>
    <definedName name="StundenAlles">Eingabe!$L$15:$L$21</definedName>
    <definedName name="StundenSaldo">Eingabe!$K$15:$K$21</definedName>
    <definedName name="StundenSaldo1">Eingabe!$G$15:$G$21</definedName>
    <definedName name="TageGearbeitet">Eingabe!$X$25</definedName>
    <definedName name="TagesMehrStunden" localSheetId="0">Eingabe!$AB$15:$AB$21</definedName>
    <definedName name="Tagesstunden" localSheetId="0">Eingabe!$G$9</definedName>
    <definedName name="Wochenstunden" localSheetId="0">Eingabe!$C$9</definedName>
    <definedName name="WocheOhneZwölfte">Eingabe!$P$25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D1" i="10" l="1"/>
  <c r="M17" i="10"/>
  <c r="M18" i="10"/>
  <c r="M19" i="10"/>
  <c r="M20" i="10"/>
  <c r="M21" i="10"/>
  <c r="AE17" i="10"/>
  <c r="AE18" i="10"/>
  <c r="AE19" i="10"/>
  <c r="AE20" i="10"/>
  <c r="AE21" i="10"/>
  <c r="O20" i="10"/>
  <c r="O21" i="10"/>
  <c r="R20" i="10"/>
  <c r="R21" i="10"/>
  <c r="U18" i="10"/>
  <c r="Q12" i="10"/>
  <c r="S21" i="10"/>
  <c r="Q21" i="10"/>
  <c r="L21" i="10"/>
  <c r="N16" i="10"/>
  <c r="N17" i="10"/>
  <c r="N18" i="10"/>
  <c r="N19" i="10"/>
  <c r="N20" i="10"/>
  <c r="N21" i="10"/>
  <c r="N15" i="10"/>
  <c r="G16" i="10"/>
  <c r="G17" i="10"/>
  <c r="G18" i="10"/>
  <c r="G19" i="10"/>
  <c r="G20" i="10"/>
  <c r="G21" i="10"/>
  <c r="G15" i="10"/>
  <c r="N25" i="10" l="1"/>
  <c r="K15" i="10" l="1"/>
  <c r="L15" i="10" s="1"/>
  <c r="K16" i="10"/>
  <c r="L16" i="10" s="1"/>
  <c r="K17" i="10"/>
  <c r="L17" i="10" s="1"/>
  <c r="O17" i="10" s="1"/>
  <c r="K18" i="10"/>
  <c r="L18" i="10" s="1"/>
  <c r="O18" i="10" s="1"/>
  <c r="K19" i="10"/>
  <c r="L19" i="10" s="1"/>
  <c r="O19" i="10" s="1"/>
  <c r="K20" i="10"/>
  <c r="K21" i="10"/>
  <c r="X21" i="10" s="1"/>
  <c r="AC15" i="10"/>
  <c r="AC16" i="10"/>
  <c r="AC17" i="10"/>
  <c r="AC18" i="10"/>
  <c r="AC19" i="10"/>
  <c r="AC20" i="10"/>
  <c r="AC21" i="10"/>
  <c r="Z1" i="10"/>
  <c r="B15" i="10"/>
  <c r="B16" i="10" s="1"/>
  <c r="T25" i="10"/>
  <c r="AL13" i="10"/>
  <c r="AD21" i="10"/>
  <c r="AD20" i="10"/>
  <c r="O16" i="10" l="1"/>
  <c r="M16" i="10"/>
  <c r="O15" i="10"/>
  <c r="M15" i="10"/>
  <c r="S19" i="10"/>
  <c r="Q19" i="10" s="1"/>
  <c r="X19" i="10"/>
  <c r="S18" i="10"/>
  <c r="X18" i="10"/>
  <c r="S17" i="10"/>
  <c r="R17" i="10" s="1"/>
  <c r="X17" i="10"/>
  <c r="X16" i="10"/>
  <c r="S16" i="10"/>
  <c r="R16" i="10" s="1"/>
  <c r="X15" i="10"/>
  <c r="S15" i="10"/>
  <c r="R15" i="10" s="1"/>
  <c r="L20" i="10"/>
  <c r="W18" i="10"/>
  <c r="B17" i="10"/>
  <c r="AD15" i="10"/>
  <c r="AE15" i="10" s="1"/>
  <c r="A16" i="10"/>
  <c r="U16" i="10" s="1"/>
  <c r="W17" i="10"/>
  <c r="W16" i="10"/>
  <c r="W15" i="10"/>
  <c r="W21" i="10"/>
  <c r="A15" i="10"/>
  <c r="U15" i="10" s="1"/>
  <c r="AJ24" i="10"/>
  <c r="W19" i="10"/>
  <c r="AL24" i="10"/>
  <c r="AC23" i="10"/>
  <c r="R19" i="10" l="1"/>
  <c r="R18" i="10"/>
  <c r="Q18" i="10" s="1"/>
  <c r="Q16" i="10"/>
  <c r="L4" i="10"/>
  <c r="Q17" i="10"/>
  <c r="Q15" i="10"/>
  <c r="L25" i="10"/>
  <c r="S20" i="10"/>
  <c r="Q20" i="10"/>
  <c r="W20" i="10"/>
  <c r="W25" i="10" s="1"/>
  <c r="X20" i="10"/>
  <c r="O22" i="10"/>
  <c r="V18" i="10"/>
  <c r="V16" i="10"/>
  <c r="V15" i="10"/>
  <c r="A17" i="10"/>
  <c r="U17" i="10" s="1"/>
  <c r="B18" i="10"/>
  <c r="AD16" i="10"/>
  <c r="AE16" i="10" s="1"/>
  <c r="O25" i="10" l="1"/>
  <c r="P25" i="10" s="1"/>
  <c r="R25" i="10"/>
  <c r="S25" i="10"/>
  <c r="S13" i="10" s="1"/>
  <c r="X25" i="10"/>
  <c r="AL28" i="10" s="1"/>
  <c r="Y9" i="10"/>
  <c r="V17" i="10"/>
  <c r="AD17" i="10"/>
  <c r="B19" i="10"/>
  <c r="Q25" i="10"/>
  <c r="AJ18" i="10" s="1"/>
  <c r="AL18" i="10" s="1"/>
  <c r="AJ20" i="10"/>
  <c r="AL20" i="10"/>
  <c r="AJ17" i="10" l="1"/>
  <c r="AL17" i="10" s="1"/>
  <c r="AM14" i="10"/>
  <c r="AL14" i="10"/>
  <c r="AJ14" i="10"/>
  <c r="AJ19" i="10"/>
  <c r="AL19" i="10" s="1"/>
  <c r="AD18" i="10"/>
  <c r="A19" i="10"/>
  <c r="U19" i="10" s="1"/>
  <c r="B20" i="10"/>
  <c r="AD19" i="10" s="1"/>
  <c r="AC25" i="10" l="1"/>
  <c r="V19" i="10"/>
  <c r="B21" i="10"/>
  <c r="A20" i="10"/>
  <c r="U20" i="10" s="1"/>
  <c r="V20" i="10" l="1"/>
  <c r="A21" i="10"/>
  <c r="U21" i="10" s="1"/>
  <c r="F7" i="10"/>
  <c r="U25" i="10" l="1"/>
  <c r="V21" i="10"/>
  <c r="V25" i="10" s="1"/>
  <c r="AJ21" i="10" l="1"/>
  <c r="AL21" i="10"/>
  <c r="AJ22" i="10"/>
  <c r="AL22" i="10"/>
  <c r="AJ16" i="10" l="1"/>
  <c r="AL16" i="10" s="1"/>
  <c r="AL27" i="10" l="1"/>
  <c r="AL29" i="10" s="1"/>
  <c r="AL2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Garnatz, Michael, UFA FICTION</author>
    <author>Michael Garnatz</author>
  </authors>
  <commentList>
    <comment ref="I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z.B: nach Absprache bei Dreharbeiten außerhalb der Stadtgrenzen &gt; 20 KM.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Zählen Fahrzeiten zu den Zeiten die die Arbeitszeitgrenzen übersteigen würden?</t>
        </r>
      </text>
    </comment>
    <comment ref="C9" authorId="1" shapeId="0" xr:uid="{00000000-0006-0000-0000-000003000000}">
      <text>
        <r>
          <rPr>
            <b/>
            <sz val="9"/>
            <color indexed="81"/>
            <rFont val="Segoe UI"/>
            <family val="2"/>
          </rPr>
          <t>Wochen-Std.-Vertrag, z.B. 50 Stunden pro Woche: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9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 xml:space="preserve">z.B. vorläufig unklar - gesperrt
Eingabe 10 bei 10-Std.-Vertrag 
Eingabe 8 bei 8-Std-Vertrag
</t>
        </r>
      </text>
    </comment>
    <comment ref="I11" authorId="1" shapeId="0" xr:uid="{00000000-0006-0000-0000-000005000000}">
      <text>
        <r>
          <rPr>
            <sz val="9"/>
            <color indexed="81"/>
            <rFont val="Segoe UI"/>
            <family val="2"/>
          </rPr>
          <t>Hier können Tage auf mindestens 8 Stunden aufgerundet werden.
Wenn Std. + Fahrzeiten &gt; 8 Std, dann bleibt diese Einstellung ohne Effekt.</t>
        </r>
      </text>
    </comment>
    <comment ref="J11" authorId="1" shapeId="0" xr:uid="{00000000-0006-0000-0000-000006000000}">
      <text>
        <r>
          <rPr>
            <sz val="9"/>
            <color indexed="81"/>
            <rFont val="Segoe UI"/>
            <family val="2"/>
          </rPr>
          <t>Einzelne Stunden gearbeitet:  
Der Tag soll als 1 Tag angesetzt werden.</t>
        </r>
      </text>
    </comment>
    <comment ref="O12" authorId="1" shapeId="0" xr:uid="{00000000-0006-0000-0000-000007000000}">
      <text>
        <r>
          <rPr>
            <sz val="9"/>
            <color indexed="81"/>
            <rFont val="Segoe UI"/>
            <family val="2"/>
          </rPr>
          <t xml:space="preserve">Mehrarbeit inkl. Fahrzeiten
</t>
        </r>
      </text>
    </comment>
    <comment ref="T12" authorId="0" shapeId="0" xr:uid="{00000000-0006-0000-0000-000008000000}">
      <text>
        <r>
          <rPr>
            <sz val="9"/>
            <color indexed="81"/>
            <rFont val="Arial"/>
            <family val="2"/>
          </rPr>
          <t>Hier können die 
anteiligen Stunden eines Feiertages o.ä. eingetragen werden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U12" authorId="0" shapeId="0" xr:uid="{00000000-0006-0000-0000-000009000000}">
      <text>
        <r>
          <rPr>
            <sz val="9"/>
            <color indexed="81"/>
            <rFont val="Arial"/>
            <family val="2"/>
          </rPr>
          <t>für jede Stunde des Samstag</t>
        </r>
      </text>
    </comment>
    <comment ref="V12" authorId="0" shapeId="0" xr:uid="{00000000-0006-0000-0000-00000A000000}">
      <text>
        <r>
          <rPr>
            <sz val="9"/>
            <color indexed="81"/>
            <rFont val="Arial"/>
            <family val="2"/>
          </rPr>
          <t xml:space="preserve">Sonntags-Zuschlag wenn nicht 1.-5. Produktionstag </t>
        </r>
      </text>
    </comment>
    <comment ref="W12" authorId="1" shapeId="0" xr:uid="{00000000-0006-0000-0000-00000B000000}">
      <text>
        <r>
          <rPr>
            <sz val="9"/>
            <color indexed="81"/>
            <rFont val="Segoe UI"/>
            <family val="2"/>
          </rPr>
          <t xml:space="preserve">Nachtarbeit hier von 22:00 bis 6:00 Uhr des Folgetages, bzw. bis 6:00 Uhr des selben Tages.
</t>
        </r>
      </text>
    </comment>
  </commentList>
</comments>
</file>

<file path=xl/sharedStrings.xml><?xml version="1.0" encoding="utf-8"?>
<sst xmlns="http://schemas.openxmlformats.org/spreadsheetml/2006/main" count="106" uniqueCount="90">
  <si>
    <t>Name:</t>
  </si>
  <si>
    <t>bis</t>
  </si>
  <si>
    <t>Datum</t>
  </si>
  <si>
    <t>von</t>
  </si>
  <si>
    <t>Funktion</t>
  </si>
  <si>
    <t>Woche</t>
  </si>
  <si>
    <t>PL / HL</t>
  </si>
  <si>
    <t>Die Zeiterfassungsprotokolle müssen jeweils Montags abgegeben werden bzw. bis zu diesem Zeitpunkt am Set zugänglich/verfügbar sein! Danke!</t>
  </si>
  <si>
    <t>Bemerkungen</t>
  </si>
  <si>
    <t>(autom. Auswertung ohne Gewähr)</t>
  </si>
  <si>
    <t>Abstand</t>
  </si>
  <si>
    <t>Check</t>
  </si>
  <si>
    <t>Ruhezeit</t>
  </si>
  <si>
    <t>Projekt</t>
  </si>
  <si>
    <t>Tage</t>
  </si>
  <si>
    <t>Std ./.</t>
  </si>
  <si>
    <t>Pausen</t>
  </si>
  <si>
    <t>Ansatz</t>
  </si>
  <si>
    <t>interne Prüfzahlen:</t>
  </si>
  <si>
    <t>dezimal</t>
  </si>
  <si>
    <t>Samstag</t>
  </si>
  <si>
    <t>Sonntag</t>
  </si>
  <si>
    <t>Std&gt;12</t>
  </si>
  <si>
    <t>Firma</t>
  </si>
  <si>
    <t>Die Tabelle enthält Rechenfunktionen die in der Erprobung sind.</t>
  </si>
  <si>
    <t>Donnerst.</t>
  </si>
  <si>
    <t>8 Std.</t>
  </si>
  <si>
    <t>(x)</t>
  </si>
  <si>
    <t>Eingabe-Format</t>
  </si>
  <si>
    <t>Pause</t>
  </si>
  <si>
    <t>II</t>
  </si>
  <si>
    <t>I</t>
  </si>
  <si>
    <t>Wochenstd./Vertrag</t>
  </si>
  <si>
    <t>Absprache für Projekt: An- und Abfahrtzeiten berühren die Ruhezeiten nicht.</t>
  </si>
  <si>
    <t>als Tag</t>
  </si>
  <si>
    <t>werten</t>
  </si>
  <si>
    <t>Nacht</t>
  </si>
  <si>
    <t>Saldo</t>
  </si>
  <si>
    <t>Stunden</t>
  </si>
  <si>
    <t>Zeit ohne</t>
  </si>
  <si>
    <t>Fahrzeit</t>
  </si>
  <si>
    <t>ohne Fahrzeit</t>
  </si>
  <si>
    <t>Zuschläge J/N</t>
  </si>
  <si>
    <t>Mehrarbeit</t>
  </si>
  <si>
    <t>Overtime J/N</t>
  </si>
  <si>
    <t>nur zur Info</t>
  </si>
  <si>
    <t>Stundensatz</t>
  </si>
  <si>
    <t>Grundgage</t>
  </si>
  <si>
    <t>Wochengage</t>
  </si>
  <si>
    <t>Nachtarbeit</t>
  </si>
  <si>
    <t>Samstagsarbeit</t>
  </si>
  <si>
    <t>Sonntagsarbeit</t>
  </si>
  <si>
    <t>Saldo Mehrarbeit</t>
  </si>
  <si>
    <t>Saldo Zusatztage</t>
  </si>
  <si>
    <t>zusätzl. 100%</t>
  </si>
  <si>
    <t>garnatz</t>
  </si>
  <si>
    <r>
      <t>zusätzl.</t>
    </r>
    <r>
      <rPr>
        <sz val="8"/>
        <color rgb="FFFF0000"/>
        <rFont val="Arial"/>
        <family val="2"/>
      </rPr>
      <t>*</t>
    </r>
  </si>
  <si>
    <t>Std.</t>
  </si>
  <si>
    <t>Ergebnis</t>
  </si>
  <si>
    <t>Unterschrift Mitarbeiter/Mitarbeiterin</t>
  </si>
  <si>
    <t>Lenkzeit</t>
  </si>
  <si>
    <t>Zuschläge</t>
  </si>
  <si>
    <t>davon</t>
  </si>
  <si>
    <r>
      <t>Lenkzeiten</t>
    </r>
    <r>
      <rPr>
        <sz val="10"/>
        <color theme="1"/>
        <rFont val="Arial"/>
        <family val="2"/>
      </rPr>
      <t xml:space="preserve"> (m. Absprache)</t>
    </r>
  </si>
  <si>
    <r>
      <rPr>
        <sz val="8"/>
        <color rgb="FFFF0000"/>
        <rFont val="Arial"/>
        <family val="2"/>
      </rPr>
      <t>*</t>
    </r>
    <r>
      <rPr>
        <sz val="8"/>
        <color theme="1"/>
        <rFont val="Arial"/>
        <family val="2"/>
      </rPr>
      <t>(manuell)</t>
    </r>
  </si>
  <si>
    <t>hat Vorrang vor WoStd.</t>
  </si>
  <si>
    <t>programm</t>
  </si>
  <si>
    <t>Unverbindliche Berechnung nach TV FFS 2025.</t>
  </si>
  <si>
    <t>(siehe auch Verprobung auf Seite 2)</t>
  </si>
  <si>
    <t>Norm</t>
  </si>
  <si>
    <t>Std-pro-Tag-Vertrag</t>
  </si>
  <si>
    <t>aktuell 5.2.2025</t>
  </si>
  <si>
    <t>N</t>
  </si>
  <si>
    <t>12te</t>
  </si>
  <si>
    <t>12. Std.</t>
  </si>
  <si>
    <t>sofort</t>
  </si>
  <si>
    <t>12. Stunde</t>
  </si>
  <si>
    <t>Mehrarbeit o.12.Std.</t>
  </si>
  <si>
    <t>unverrechenbar</t>
  </si>
  <si>
    <t>Üstd</t>
  </si>
  <si>
    <t>./. 12.Std.</t>
  </si>
  <si>
    <t>Zuschlag 11.Std.</t>
  </si>
  <si>
    <t>Zuschlag 12. Std.</t>
  </si>
  <si>
    <t>Testfirma</t>
  </si>
  <si>
    <t>Karin Mustermann</t>
  </si>
  <si>
    <t>x</t>
  </si>
  <si>
    <t>J</t>
  </si>
  <si>
    <t>IrgendEinGewerk</t>
  </si>
  <si>
    <t>Beta-Version</t>
  </si>
  <si>
    <t>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</si>
</sst>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dd/mm/yy;@"/>
    <numFmt numFmtId="165" formatCode="0.00_ ;[Red]\-0.00\ "/>
    <numFmt numFmtId="166" formatCode="h:mm;@"/>
    <numFmt numFmtId="167" formatCode="[$-407]General"/>
    <numFmt numFmtId="168" formatCode="[$-407]hh&quot;:&quot;mm"/>
    <numFmt numFmtId="169" formatCode="#,##0.00_ ;[Red]\-#,##0.00\ "/>
    <numFmt numFmtId="170" formatCode="[h]:mm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0.39997558519241921"/>
      <name val="Arial Narrow"/>
      <family val="2"/>
    </font>
    <font>
      <b/>
      <sz val="11"/>
      <color rgb="FFFF0000"/>
      <name val="Arial Narrow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sz val="11"/>
      <color theme="0" tint="-0.34998626667073579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sz val="8"/>
      <color rgb="FF0070C0"/>
      <name val="Arial"/>
      <family val="2"/>
    </font>
    <font>
      <i/>
      <sz val="9"/>
      <color rgb="FF0070C0"/>
      <name val="Arial"/>
      <family val="2"/>
    </font>
    <font>
      <b/>
      <sz val="8"/>
      <color theme="3"/>
      <name val="Arial Narrow"/>
      <family val="2"/>
    </font>
    <font>
      <sz val="10"/>
      <color theme="3" tint="0.39997558519241921"/>
      <name val="Arial"/>
      <family val="2"/>
    </font>
    <font>
      <b/>
      <sz val="9"/>
      <color indexed="81"/>
      <name val="Segoe UI"/>
      <family val="2"/>
    </font>
    <font>
      <sz val="9"/>
      <color indexed="81"/>
      <name val="Arial"/>
      <family val="2"/>
    </font>
    <font>
      <b/>
      <sz val="11"/>
      <name val="Arial"/>
      <family val="2"/>
    </font>
    <font>
      <sz val="8"/>
      <color theme="8" tint="0.39997558519241921"/>
      <name val="Arial"/>
      <family val="2"/>
    </font>
    <font>
      <sz val="8"/>
      <color theme="1"/>
      <name val="Arial Narrow"/>
      <family val="2"/>
    </font>
    <font>
      <sz val="11"/>
      <color theme="4" tint="0.59999389629810485"/>
      <name val="Arial"/>
      <family val="2"/>
    </font>
    <font>
      <b/>
      <sz val="9"/>
      <color rgb="FF0070C0"/>
      <name val="Arial"/>
      <family val="2"/>
    </font>
    <font>
      <sz val="9"/>
      <color theme="2" tint="-0.249977111117893"/>
      <name val="Arial"/>
      <family val="2"/>
    </font>
    <font>
      <sz val="9"/>
      <color indexed="81"/>
      <name val="Segoe UI"/>
      <family val="2"/>
    </font>
    <font>
      <b/>
      <sz val="11"/>
      <color theme="3"/>
      <name val="Arial"/>
      <family val="2"/>
    </font>
    <font>
      <sz val="11"/>
      <color theme="7"/>
      <name val="Arial"/>
      <family val="2"/>
    </font>
    <font>
      <sz val="10"/>
      <color theme="7"/>
      <name val="Arial Narrow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8" tint="-0.249977111117893"/>
      <name val="Arial"/>
      <family val="2"/>
    </font>
    <font>
      <b/>
      <sz val="10"/>
      <color theme="8" tint="-0.249977111117893"/>
      <name val="Arial"/>
      <family val="2"/>
    </font>
    <font>
      <b/>
      <sz val="9"/>
      <color theme="0" tint="-0.499984740745262"/>
      <name val="Arial"/>
      <family val="2"/>
    </font>
    <font>
      <b/>
      <sz val="11"/>
      <color theme="8" tint="-0.249977111117893"/>
      <name val="Arial"/>
      <family val="2"/>
    </font>
    <font>
      <b/>
      <sz val="9"/>
      <color theme="8" tint="-0.249977111117893"/>
      <name val="Arial Narrow"/>
      <family val="2"/>
    </font>
    <font>
      <sz val="8"/>
      <color theme="8" tint="-0.249977111117893"/>
      <name val="Arial Narrow"/>
      <family val="2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9" tint="-0.249977111117893"/>
      <name val="Arial"/>
      <family val="2"/>
    </font>
    <font>
      <sz val="11"/>
      <color theme="8" tint="0.59999389629810485"/>
      <name val="Arial"/>
      <family val="2"/>
    </font>
    <font>
      <sz val="8"/>
      <color rgb="FFFF0000"/>
      <name val="Arial"/>
      <family val="2"/>
    </font>
    <font>
      <sz val="10"/>
      <color theme="0" tint="-0.34998626667073579"/>
      <name val="Arial"/>
      <family val="2"/>
    </font>
    <font>
      <b/>
      <sz val="9"/>
      <color rgb="FFFF0000"/>
      <name val="Arial Narrow"/>
      <family val="2"/>
    </font>
    <font>
      <b/>
      <sz val="8"/>
      <color rgb="FFFF0000"/>
      <name val="Arial Narrow"/>
      <family val="2"/>
    </font>
    <font>
      <sz val="11"/>
      <color theme="3"/>
      <name val="Calibri"/>
      <family val="2"/>
      <scheme val="minor"/>
    </font>
    <font>
      <b/>
      <sz val="9"/>
      <color theme="3"/>
      <name val="Arial"/>
      <family val="2"/>
    </font>
    <font>
      <sz val="10"/>
      <color theme="3"/>
      <name val="Arial"/>
      <family val="2"/>
    </font>
    <font>
      <b/>
      <sz val="10"/>
      <name val="Arial"/>
      <family val="2"/>
    </font>
    <font>
      <sz val="9"/>
      <color theme="5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color theme="0" tint="-0.499984740745262"/>
      <name val="Arial"/>
      <family val="2"/>
    </font>
    <font>
      <b/>
      <sz val="9"/>
      <name val="Arial"/>
      <family val="2"/>
    </font>
    <font>
      <sz val="12"/>
      <name val="Calibri"/>
      <family val="2"/>
      <scheme val="minor"/>
    </font>
    <font>
      <sz val="8"/>
      <color theme="0" tint="-0.34998626667073579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 Narrow"/>
      <family val="2"/>
    </font>
    <font>
      <sz val="10"/>
      <color theme="0" tint="-0.1499984740745262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7" fontId="22" fillId="0" borderId="0"/>
  </cellStyleXfs>
  <cellXfs count="275">
    <xf numFmtId="0" fontId="0" fillId="0" borderId="0" xfId="0"/>
    <xf numFmtId="0" fontId="12" fillId="0" borderId="0" xfId="0" applyFont="1"/>
    <xf numFmtId="0" fontId="15" fillId="0" borderId="0" xfId="0" applyFont="1"/>
    <xf numFmtId="0" fontId="15" fillId="5" borderId="0" xfId="0" applyFont="1" applyFill="1"/>
    <xf numFmtId="0" fontId="12" fillId="5" borderId="0" xfId="0" applyFont="1" applyFill="1"/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4" fillId="5" borderId="0" xfId="0" applyFont="1" applyFill="1" applyAlignment="1">
      <alignment horizontal="right"/>
    </xf>
    <xf numFmtId="0" fontId="9" fillId="5" borderId="6" xfId="0" applyFont="1" applyFill="1" applyBorder="1" applyAlignment="1">
      <alignment horizontal="center"/>
    </xf>
    <xf numFmtId="0" fontId="9" fillId="5" borderId="0" xfId="0" applyFont="1" applyFill="1" applyProtection="1">
      <protection hidden="1"/>
    </xf>
    <xf numFmtId="0" fontId="12" fillId="5" borderId="0" xfId="0" applyFont="1" applyFill="1" applyProtection="1">
      <protection hidden="1"/>
    </xf>
    <xf numFmtId="0" fontId="12" fillId="5" borderId="15" xfId="0" applyFont="1" applyFill="1" applyBorder="1" applyProtection="1">
      <protection hidden="1"/>
    </xf>
    <xf numFmtId="0" fontId="12" fillId="5" borderId="17" xfId="0" applyFont="1" applyFill="1" applyBorder="1" applyProtection="1">
      <protection hidden="1"/>
    </xf>
    <xf numFmtId="0" fontId="12" fillId="5" borderId="19" xfId="0" applyFont="1" applyFill="1" applyBorder="1" applyProtection="1">
      <protection hidden="1"/>
    </xf>
    <xf numFmtId="0" fontId="9" fillId="5" borderId="5" xfId="0" applyFont="1" applyFill="1" applyBorder="1" applyAlignment="1">
      <alignment horizontal="center"/>
    </xf>
    <xf numFmtId="0" fontId="6" fillId="5" borderId="0" xfId="0" applyFont="1" applyFill="1" applyAlignment="1">
      <alignment horizontal="right"/>
    </xf>
    <xf numFmtId="0" fontId="15" fillId="5" borderId="11" xfId="0" applyFont="1" applyFill="1" applyBorder="1" applyAlignment="1">
      <alignment horizontal="center"/>
    </xf>
    <xf numFmtId="0" fontId="12" fillId="5" borderId="13" xfId="0" applyFont="1" applyFill="1" applyBorder="1" applyProtection="1">
      <protection hidden="1"/>
    </xf>
    <xf numFmtId="0" fontId="12" fillId="5" borderId="23" xfId="0" applyFont="1" applyFill="1" applyBorder="1" applyProtection="1">
      <protection hidden="1"/>
    </xf>
    <xf numFmtId="0" fontId="27" fillId="5" borderId="23" xfId="0" applyFont="1" applyFill="1" applyBorder="1" applyProtection="1">
      <protection locked="0"/>
    </xf>
    <xf numFmtId="0" fontId="26" fillId="5" borderId="0" xfId="0" applyFont="1" applyFill="1" applyProtection="1">
      <protection hidden="1"/>
    </xf>
    <xf numFmtId="0" fontId="36" fillId="5" borderId="0" xfId="0" applyFont="1" applyFill="1" applyAlignment="1">
      <alignment horizontal="right"/>
    </xf>
    <xf numFmtId="0" fontId="9" fillId="5" borderId="8" xfId="0" applyFont="1" applyFill="1" applyBorder="1" applyAlignment="1">
      <alignment horizontal="center"/>
    </xf>
    <xf numFmtId="20" fontId="15" fillId="5" borderId="6" xfId="0" applyNumberFormat="1" applyFont="1" applyFill="1" applyBorder="1" applyAlignment="1">
      <alignment horizontal="center"/>
    </xf>
    <xf numFmtId="0" fontId="12" fillId="5" borderId="16" xfId="0" applyFont="1" applyFill="1" applyBorder="1" applyProtection="1">
      <protection hidden="1"/>
    </xf>
    <xf numFmtId="0" fontId="9" fillId="5" borderId="19" xfId="0" applyFont="1" applyFill="1" applyBorder="1" applyAlignment="1" applyProtection="1">
      <alignment horizontal="center"/>
      <protection hidden="1"/>
    </xf>
    <xf numFmtId="169" fontId="25" fillId="5" borderId="0" xfId="0" applyNumberFormat="1" applyFont="1" applyFill="1" applyProtection="1">
      <protection hidden="1"/>
    </xf>
    <xf numFmtId="2" fontId="32" fillId="5" borderId="19" xfId="0" applyNumberFormat="1" applyFont="1" applyFill="1" applyBorder="1" applyAlignment="1" applyProtection="1">
      <alignment horizontal="left"/>
      <protection hidden="1"/>
    </xf>
    <xf numFmtId="169" fontId="25" fillId="5" borderId="21" xfId="0" applyNumberFormat="1" applyFont="1" applyFill="1" applyBorder="1" applyProtection="1">
      <protection hidden="1"/>
    </xf>
    <xf numFmtId="4" fontId="19" fillId="3" borderId="21" xfId="0" applyNumberFormat="1" applyFont="1" applyFill="1" applyBorder="1" applyAlignment="1" applyProtection="1">
      <alignment horizontal="center" wrapText="1"/>
      <protection hidden="1"/>
    </xf>
    <xf numFmtId="2" fontId="32" fillId="5" borderId="22" xfId="0" applyNumberFormat="1" applyFont="1" applyFill="1" applyBorder="1" applyAlignment="1" applyProtection="1">
      <alignment horizontal="left"/>
      <protection hidden="1"/>
    </xf>
    <xf numFmtId="0" fontId="9" fillId="5" borderId="0" xfId="0" applyFont="1" applyFill="1" applyAlignment="1" applyProtection="1">
      <alignment horizontal="right"/>
      <protection hidden="1"/>
    </xf>
    <xf numFmtId="2" fontId="23" fillId="2" borderId="2" xfId="0" applyNumberFormat="1" applyFont="1" applyFill="1" applyBorder="1" applyProtection="1">
      <protection locked="0"/>
    </xf>
    <xf numFmtId="0" fontId="35" fillId="5" borderId="14" xfId="0" applyFont="1" applyFill="1" applyBorder="1" applyAlignment="1" applyProtection="1">
      <alignment horizontal="center"/>
      <protection hidden="1"/>
    </xf>
    <xf numFmtId="0" fontId="37" fillId="5" borderId="15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18" xfId="0" applyFont="1" applyFill="1" applyBorder="1" applyAlignment="1" applyProtection="1">
      <alignment horizontal="center"/>
      <protection hidden="1"/>
    </xf>
    <xf numFmtId="0" fontId="15" fillId="5" borderId="0" xfId="0" applyFont="1" applyFill="1" applyProtection="1">
      <protection locked="0"/>
    </xf>
    <xf numFmtId="0" fontId="9" fillId="5" borderId="0" xfId="0" applyFont="1" applyFill="1" applyProtection="1">
      <protection locked="0"/>
    </xf>
    <xf numFmtId="0" fontId="37" fillId="5" borderId="7" xfId="0" applyFont="1" applyFill="1" applyBorder="1" applyAlignment="1">
      <alignment horizontal="center"/>
    </xf>
    <xf numFmtId="2" fontId="32" fillId="5" borderId="0" xfId="0" applyNumberFormat="1" applyFont="1" applyFill="1" applyAlignment="1" applyProtection="1">
      <alignment horizontal="left"/>
      <protection hidden="1"/>
    </xf>
    <xf numFmtId="0" fontId="12" fillId="5" borderId="4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20" fontId="15" fillId="5" borderId="12" xfId="0" applyNumberFormat="1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2" fontId="15" fillId="3" borderId="2" xfId="0" applyNumberFormat="1" applyFont="1" applyFill="1" applyBorder="1" applyProtection="1">
      <protection hidden="1"/>
    </xf>
    <xf numFmtId="2" fontId="10" fillId="3" borderId="2" xfId="0" applyNumberFormat="1" applyFont="1" applyFill="1" applyBorder="1" applyProtection="1">
      <protection hidden="1"/>
    </xf>
    <xf numFmtId="0" fontId="15" fillId="3" borderId="2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10" fillId="3" borderId="26" xfId="0" applyFont="1" applyFill="1" applyBorder="1" applyAlignment="1">
      <alignment horizontal="center"/>
    </xf>
    <xf numFmtId="0" fontId="51" fillId="5" borderId="25" xfId="0" applyFont="1" applyFill="1" applyBorder="1" applyAlignment="1">
      <alignment horizontal="center"/>
    </xf>
    <xf numFmtId="0" fontId="52" fillId="5" borderId="26" xfId="0" applyFont="1" applyFill="1" applyBorder="1" applyAlignment="1">
      <alignment horizontal="center"/>
    </xf>
    <xf numFmtId="0" fontId="57" fillId="2" borderId="3" xfId="0" applyFont="1" applyFill="1" applyBorder="1" applyAlignment="1" applyProtection="1">
      <alignment horizontal="center"/>
      <protection locked="0"/>
    </xf>
    <xf numFmtId="0" fontId="10" fillId="3" borderId="29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45" fillId="3" borderId="33" xfId="0" applyFont="1" applyFill="1" applyBorder="1" applyAlignment="1">
      <alignment horizontal="center"/>
    </xf>
    <xf numFmtId="2" fontId="23" fillId="2" borderId="36" xfId="0" applyNumberFormat="1" applyFont="1" applyFill="1" applyBorder="1" applyProtection="1">
      <protection locked="0"/>
    </xf>
    <xf numFmtId="2" fontId="10" fillId="3" borderId="36" xfId="0" applyNumberFormat="1" applyFont="1" applyFill="1" applyBorder="1" applyProtection="1">
      <protection hidden="1"/>
    </xf>
    <xf numFmtId="4" fontId="12" fillId="2" borderId="3" xfId="0" applyNumberFormat="1" applyFont="1" applyFill="1" applyBorder="1" applyProtection="1">
      <protection locked="0"/>
    </xf>
    <xf numFmtId="0" fontId="2" fillId="5" borderId="23" xfId="0" applyFont="1" applyFill="1" applyBorder="1" applyProtection="1">
      <protection hidden="1"/>
    </xf>
    <xf numFmtId="0" fontId="59" fillId="5" borderId="0" xfId="0" applyFont="1" applyFill="1"/>
    <xf numFmtId="0" fontId="0" fillId="0" borderId="0" xfId="0" applyAlignment="1">
      <alignment horizontal="center"/>
    </xf>
    <xf numFmtId="0" fontId="9" fillId="5" borderId="20" xfId="0" applyFont="1" applyFill="1" applyBorder="1" applyAlignment="1" applyProtection="1">
      <alignment horizontal="center"/>
      <protection hidden="1"/>
    </xf>
    <xf numFmtId="0" fontId="9" fillId="5" borderId="0" xfId="0" applyFont="1" applyFill="1" applyAlignment="1" applyProtection="1">
      <alignment horizontal="center"/>
      <protection hidden="1"/>
    </xf>
    <xf numFmtId="0" fontId="9" fillId="5" borderId="4" xfId="0" applyFont="1" applyFill="1" applyBorder="1" applyProtection="1">
      <protection hidden="1"/>
    </xf>
    <xf numFmtId="0" fontId="12" fillId="5" borderId="5" xfId="0" applyFont="1" applyFill="1" applyBorder="1"/>
    <xf numFmtId="0" fontId="2" fillId="5" borderId="5" xfId="0" applyFont="1" applyFill="1" applyBorder="1"/>
    <xf numFmtId="0" fontId="12" fillId="5" borderId="11" xfId="0" applyFont="1" applyFill="1" applyBorder="1"/>
    <xf numFmtId="0" fontId="9" fillId="5" borderId="28" xfId="0" applyFont="1" applyFill="1" applyBorder="1" applyProtection="1">
      <protection hidden="1"/>
    </xf>
    <xf numFmtId="0" fontId="12" fillId="5" borderId="24" xfId="0" applyFont="1" applyFill="1" applyBorder="1"/>
    <xf numFmtId="0" fontId="25" fillId="0" borderId="28" xfId="0" applyFont="1" applyBorder="1" applyAlignment="1">
      <alignment horizontal="right"/>
    </xf>
    <xf numFmtId="0" fontId="25" fillId="0" borderId="0" xfId="0" applyFont="1" applyAlignment="1">
      <alignment horizontal="right"/>
    </xf>
    <xf numFmtId="4" fontId="12" fillId="5" borderId="0" xfId="0" applyNumberFormat="1" applyFont="1" applyFill="1" applyProtection="1">
      <protection hidden="1"/>
    </xf>
    <xf numFmtId="0" fontId="12" fillId="5" borderId="24" xfId="0" applyFont="1" applyFill="1" applyBorder="1" applyProtection="1">
      <protection hidden="1"/>
    </xf>
    <xf numFmtId="0" fontId="25" fillId="5" borderId="28" xfId="0" applyFont="1" applyFill="1" applyBorder="1" applyProtection="1">
      <protection hidden="1"/>
    </xf>
    <xf numFmtId="0" fontId="25" fillId="5" borderId="0" xfId="0" applyFont="1" applyFill="1" applyAlignment="1" applyProtection="1">
      <alignment horizontal="right"/>
      <protection hidden="1"/>
    </xf>
    <xf numFmtId="0" fontId="12" fillId="5" borderId="28" xfId="0" applyFont="1" applyFill="1" applyBorder="1" applyProtection="1">
      <protection hidden="1"/>
    </xf>
    <xf numFmtId="0" fontId="61" fillId="5" borderId="0" xfId="0" applyFont="1" applyFill="1" applyAlignment="1" applyProtection="1">
      <alignment horizontal="right"/>
      <protection hidden="1"/>
    </xf>
    <xf numFmtId="0" fontId="10" fillId="5" borderId="0" xfId="0" applyFont="1" applyFill="1" applyProtection="1">
      <protection hidden="1"/>
    </xf>
    <xf numFmtId="0" fontId="12" fillId="5" borderId="28" xfId="0" applyFont="1" applyFill="1" applyBorder="1"/>
    <xf numFmtId="0" fontId="12" fillId="5" borderId="6" xfId="0" applyFont="1" applyFill="1" applyBorder="1"/>
    <xf numFmtId="0" fontId="12" fillId="5" borderId="12" xfId="0" applyFont="1" applyFill="1" applyBorder="1"/>
    <xf numFmtId="0" fontId="61" fillId="5" borderId="24" xfId="0" applyFont="1" applyFill="1" applyBorder="1" applyProtection="1">
      <protection hidden="1"/>
    </xf>
    <xf numFmtId="0" fontId="12" fillId="5" borderId="38" xfId="0" applyFont="1" applyFill="1" applyBorder="1"/>
    <xf numFmtId="0" fontId="12" fillId="0" borderId="13" xfId="0" applyFont="1" applyBorder="1"/>
    <xf numFmtId="9" fontId="9" fillId="5" borderId="40" xfId="0" applyNumberFormat="1" applyFont="1" applyFill="1" applyBorder="1"/>
    <xf numFmtId="0" fontId="0" fillId="3" borderId="43" xfId="0" applyFill="1" applyBorder="1" applyAlignment="1" applyProtection="1">
      <alignment horizontal="center"/>
      <protection hidden="1"/>
    </xf>
    <xf numFmtId="164" fontId="10" fillId="5" borderId="0" xfId="0" applyNumberFormat="1" applyFont="1" applyFill="1"/>
    <xf numFmtId="0" fontId="28" fillId="5" borderId="0" xfId="0" applyFont="1" applyFill="1" applyAlignment="1" applyProtection="1">
      <alignment horizontal="right"/>
      <protection hidden="1"/>
    </xf>
    <xf numFmtId="0" fontId="9" fillId="5" borderId="16" xfId="0" applyFont="1" applyFill="1" applyBorder="1" applyProtection="1">
      <protection hidden="1"/>
    </xf>
    <xf numFmtId="0" fontId="13" fillId="5" borderId="39" xfId="0" applyFont="1" applyFill="1" applyBorder="1" applyProtection="1">
      <protection hidden="1"/>
    </xf>
    <xf numFmtId="0" fontId="13" fillId="5" borderId="3" xfId="0" applyFont="1" applyFill="1" applyBorder="1" applyProtection="1">
      <protection hidden="1"/>
    </xf>
    <xf numFmtId="2" fontId="23" fillId="2" borderId="44" xfId="0" applyNumberFormat="1" applyFont="1" applyFill="1" applyBorder="1" applyProtection="1">
      <protection locked="0"/>
    </xf>
    <xf numFmtId="2" fontId="10" fillId="3" borderId="44" xfId="0" applyNumberFormat="1" applyFont="1" applyFill="1" applyBorder="1" applyProtection="1">
      <protection hidden="1"/>
    </xf>
    <xf numFmtId="0" fontId="31" fillId="2" borderId="45" xfId="0" applyFont="1" applyFill="1" applyBorder="1" applyAlignment="1" applyProtection="1">
      <alignment horizontal="center" vertical="center" wrapText="1"/>
      <protection locked="0"/>
    </xf>
    <xf numFmtId="0" fontId="31" fillId="2" borderId="34" xfId="0" applyFont="1" applyFill="1" applyBorder="1" applyAlignment="1" applyProtection="1">
      <alignment horizontal="center" vertical="center" wrapText="1"/>
      <protection locked="0"/>
    </xf>
    <xf numFmtId="166" fontId="39" fillId="2" borderId="36" xfId="0" applyNumberFormat="1" applyFont="1" applyFill="1" applyBorder="1" applyAlignment="1" applyProtection="1">
      <alignment horizontal="center"/>
      <protection locked="0"/>
    </xf>
    <xf numFmtId="0" fontId="31" fillId="2" borderId="37" xfId="0" applyFont="1" applyFill="1" applyBorder="1" applyAlignment="1" applyProtection="1">
      <alignment horizontal="center" vertical="center" wrapText="1"/>
      <protection locked="0"/>
    </xf>
    <xf numFmtId="0" fontId="10" fillId="0" borderId="41" xfId="0" applyFont="1" applyBorder="1"/>
    <xf numFmtId="166" fontId="50" fillId="0" borderId="2" xfId="0" applyNumberFormat="1" applyFont="1" applyBorder="1" applyAlignment="1" applyProtection="1">
      <alignment wrapText="1"/>
      <protection hidden="1"/>
    </xf>
    <xf numFmtId="2" fontId="23" fillId="3" borderId="2" xfId="0" applyNumberFormat="1" applyFont="1" applyFill="1" applyBorder="1" applyProtection="1">
      <protection hidden="1"/>
    </xf>
    <xf numFmtId="20" fontId="47" fillId="2" borderId="44" xfId="0" applyNumberFormat="1" applyFont="1" applyFill="1" applyBorder="1" applyAlignment="1" applyProtection="1">
      <alignment horizontal="center"/>
      <protection locked="0"/>
    </xf>
    <xf numFmtId="20" fontId="47" fillId="2" borderId="2" xfId="0" applyNumberFormat="1" applyFont="1" applyFill="1" applyBorder="1" applyAlignment="1" applyProtection="1">
      <alignment horizontal="center"/>
      <protection locked="0"/>
    </xf>
    <xf numFmtId="20" fontId="47" fillId="2" borderId="36" xfId="0" applyNumberFormat="1" applyFont="1" applyFill="1" applyBorder="1" applyAlignment="1" applyProtection="1">
      <alignment horizontal="center"/>
      <protection locked="0"/>
    </xf>
    <xf numFmtId="166" fontId="49" fillId="5" borderId="44" xfId="0" applyNumberFormat="1" applyFont="1" applyFill="1" applyBorder="1" applyProtection="1">
      <protection hidden="1"/>
    </xf>
    <xf numFmtId="166" fontId="50" fillId="0" borderId="44" xfId="0" applyNumberFormat="1" applyFont="1" applyBorder="1" applyAlignment="1" applyProtection="1">
      <alignment wrapText="1"/>
      <protection hidden="1"/>
    </xf>
    <xf numFmtId="166" fontId="50" fillId="0" borderId="36" xfId="0" applyNumberFormat="1" applyFont="1" applyBorder="1" applyAlignment="1" applyProtection="1">
      <alignment wrapText="1"/>
      <protection hidden="1"/>
    </xf>
    <xf numFmtId="4" fontId="61" fillId="5" borderId="0" xfId="0" applyNumberFormat="1" applyFont="1" applyFill="1" applyAlignment="1" applyProtection="1">
      <alignment horizontal="right"/>
      <protection hidden="1"/>
    </xf>
    <xf numFmtId="0" fontId="62" fillId="5" borderId="4" xfId="0" applyFont="1" applyFill="1" applyBorder="1" applyAlignment="1">
      <alignment horizontal="center"/>
    </xf>
    <xf numFmtId="0" fontId="63" fillId="5" borderId="6" xfId="0" applyFont="1" applyFill="1" applyBorder="1" applyAlignment="1">
      <alignment horizontal="center"/>
    </xf>
    <xf numFmtId="1" fontId="16" fillId="2" borderId="3" xfId="0" applyNumberFormat="1" applyFont="1" applyFill="1" applyBorder="1" applyAlignment="1" applyProtection="1">
      <alignment horizontal="center"/>
      <protection locked="0"/>
    </xf>
    <xf numFmtId="9" fontId="9" fillId="5" borderId="42" xfId="0" applyNumberFormat="1" applyFont="1" applyFill="1" applyBorder="1"/>
    <xf numFmtId="170" fontId="42" fillId="5" borderId="3" xfId="0" applyNumberFormat="1" applyFont="1" applyFill="1" applyBorder="1" applyAlignment="1" applyProtection="1">
      <alignment horizontal="right"/>
      <protection hidden="1"/>
    </xf>
    <xf numFmtId="165" fontId="42" fillId="5" borderId="3" xfId="0" applyNumberFormat="1" applyFont="1" applyFill="1" applyBorder="1" applyProtection="1">
      <protection hidden="1"/>
    </xf>
    <xf numFmtId="2" fontId="42" fillId="5" borderId="3" xfId="0" applyNumberFormat="1" applyFont="1" applyFill="1" applyBorder="1" applyProtection="1">
      <protection hidden="1"/>
    </xf>
    <xf numFmtId="169" fontId="64" fillId="0" borderId="3" xfId="0" applyNumberFormat="1" applyFont="1" applyBorder="1"/>
    <xf numFmtId="2" fontId="65" fillId="5" borderId="3" xfId="0" applyNumberFormat="1" applyFont="1" applyFill="1" applyBorder="1" applyProtection="1">
      <protection hidden="1"/>
    </xf>
    <xf numFmtId="2" fontId="66" fillId="8" borderId="3" xfId="0" applyNumberFormat="1" applyFont="1" applyFill="1" applyBorder="1" applyProtection="1">
      <protection hidden="1"/>
    </xf>
    <xf numFmtId="1" fontId="42" fillId="5" borderId="3" xfId="0" applyNumberFormat="1" applyFont="1" applyFill="1" applyBorder="1" applyAlignment="1" applyProtection="1">
      <alignment horizontal="center"/>
      <protection hidden="1"/>
    </xf>
    <xf numFmtId="168" fontId="48" fillId="4" borderId="2" xfId="1" applyNumberFormat="1" applyFont="1" applyFill="1" applyBorder="1" applyAlignment="1" applyProtection="1">
      <alignment horizontal="center"/>
      <protection locked="0"/>
    </xf>
    <xf numFmtId="166" fontId="48" fillId="2" borderId="2" xfId="0" applyNumberFormat="1" applyFont="1" applyFill="1" applyBorder="1" applyAlignment="1" applyProtection="1">
      <alignment horizontal="center"/>
      <protection locked="0"/>
    </xf>
    <xf numFmtId="166" fontId="39" fillId="2" borderId="2" xfId="0" applyNumberFormat="1" applyFont="1" applyFill="1" applyBorder="1" applyAlignment="1" applyProtection="1">
      <alignment horizontal="center"/>
      <protection locked="0"/>
    </xf>
    <xf numFmtId="165" fontId="10" fillId="3" borderId="2" xfId="0" applyNumberFormat="1" applyFont="1" applyFill="1" applyBorder="1" applyProtection="1">
      <protection hidden="1"/>
    </xf>
    <xf numFmtId="0" fontId="7" fillId="3" borderId="2" xfId="0" applyFont="1" applyFill="1" applyBorder="1" applyAlignment="1" applyProtection="1">
      <alignment horizontal="center"/>
      <protection hidden="1"/>
    </xf>
    <xf numFmtId="164" fontId="10" fillId="5" borderId="47" xfId="0" applyNumberFormat="1" applyFont="1" applyFill="1" applyBorder="1"/>
    <xf numFmtId="164" fontId="10" fillId="5" borderId="48" xfId="0" applyNumberFormat="1" applyFont="1" applyFill="1" applyBorder="1"/>
    <xf numFmtId="164" fontId="10" fillId="5" borderId="49" xfId="0" applyNumberFormat="1" applyFont="1" applyFill="1" applyBorder="1"/>
    <xf numFmtId="166" fontId="48" fillId="2" borderId="44" xfId="0" applyNumberFormat="1" applyFont="1" applyFill="1" applyBorder="1" applyAlignment="1" applyProtection="1">
      <alignment horizontal="center"/>
      <protection locked="0"/>
    </xf>
    <xf numFmtId="166" fontId="39" fillId="2" borderId="44" xfId="0" applyNumberFormat="1" applyFont="1" applyFill="1" applyBorder="1" applyAlignment="1" applyProtection="1">
      <alignment horizontal="center"/>
      <protection locked="0"/>
    </xf>
    <xf numFmtId="165" fontId="10" fillId="3" borderId="44" xfId="0" applyNumberFormat="1" applyFont="1" applyFill="1" applyBorder="1" applyProtection="1">
      <protection hidden="1"/>
    </xf>
    <xf numFmtId="168" fontId="48" fillId="4" borderId="35" xfId="1" applyNumberFormat="1" applyFont="1" applyFill="1" applyBorder="1" applyAlignment="1" applyProtection="1">
      <alignment horizontal="center"/>
      <protection locked="0"/>
    </xf>
    <xf numFmtId="168" fontId="48" fillId="4" borderId="36" xfId="1" applyNumberFormat="1" applyFont="1" applyFill="1" applyBorder="1" applyAlignment="1" applyProtection="1">
      <alignment horizontal="center"/>
      <protection locked="0"/>
    </xf>
    <xf numFmtId="166" fontId="48" fillId="2" borderId="36" xfId="0" applyNumberFormat="1" applyFont="1" applyFill="1" applyBorder="1" applyAlignment="1" applyProtection="1">
      <alignment horizontal="center"/>
      <protection locked="0"/>
    </xf>
    <xf numFmtId="165" fontId="10" fillId="3" borderId="36" xfId="0" applyNumberFormat="1" applyFont="1" applyFill="1" applyBorder="1" applyProtection="1">
      <protection hidden="1"/>
    </xf>
    <xf numFmtId="0" fontId="10" fillId="3" borderId="25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2" fontId="69" fillId="8" borderId="36" xfId="0" applyNumberFormat="1" applyFont="1" applyFill="1" applyBorder="1" applyProtection="1">
      <protection hidden="1"/>
    </xf>
    <xf numFmtId="2" fontId="70" fillId="5" borderId="3" xfId="0" applyNumberFormat="1" applyFont="1" applyFill="1" applyBorder="1" applyProtection="1">
      <protection hidden="1"/>
    </xf>
    <xf numFmtId="2" fontId="69" fillId="3" borderId="2" xfId="0" applyNumberFormat="1" applyFont="1" applyFill="1" applyBorder="1" applyProtection="1">
      <protection hidden="1"/>
    </xf>
    <xf numFmtId="0" fontId="45" fillId="3" borderId="38" xfId="0" applyFont="1" applyFill="1" applyBorder="1" applyAlignment="1">
      <alignment horizontal="center"/>
    </xf>
    <xf numFmtId="0" fontId="10" fillId="0" borderId="29" xfId="0" applyFont="1" applyBorder="1"/>
    <xf numFmtId="2" fontId="71" fillId="3" borderId="2" xfId="0" applyNumberFormat="1" applyFont="1" applyFill="1" applyBorder="1" applyAlignment="1" applyProtection="1">
      <alignment horizontal="center"/>
      <protection hidden="1"/>
    </xf>
    <xf numFmtId="0" fontId="73" fillId="5" borderId="24" xfId="0" applyFont="1" applyFill="1" applyBorder="1" applyProtection="1">
      <protection hidden="1"/>
    </xf>
    <xf numFmtId="0" fontId="10" fillId="3" borderId="17" xfId="0" applyFont="1" applyFill="1" applyBorder="1" applyAlignment="1">
      <alignment horizontal="center"/>
    </xf>
    <xf numFmtId="9" fontId="9" fillId="3" borderId="22" xfId="0" applyNumberFormat="1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9" fontId="15" fillId="3" borderId="52" xfId="0" applyNumberFormat="1" applyFont="1" applyFill="1" applyBorder="1" applyAlignment="1">
      <alignment horizontal="center"/>
    </xf>
    <xf numFmtId="9" fontId="15" fillId="3" borderId="53" xfId="0" applyNumberFormat="1" applyFont="1" applyFill="1" applyBorder="1" applyAlignment="1">
      <alignment horizontal="center"/>
    </xf>
    <xf numFmtId="9" fontId="56" fillId="3" borderId="53" xfId="0" applyNumberFormat="1" applyFont="1" applyFill="1" applyBorder="1" applyAlignment="1">
      <alignment horizontal="center" vertical="center"/>
    </xf>
    <xf numFmtId="9" fontId="15" fillId="3" borderId="50" xfId="0" applyNumberFormat="1" applyFont="1" applyFill="1" applyBorder="1" applyAlignment="1">
      <alignment horizontal="center"/>
    </xf>
    <xf numFmtId="9" fontId="10" fillId="3" borderId="50" xfId="0" applyNumberFormat="1" applyFont="1" applyFill="1" applyBorder="1" applyAlignment="1">
      <alignment horizontal="center"/>
    </xf>
    <xf numFmtId="9" fontId="10" fillId="3" borderId="54" xfId="0" applyNumberFormat="1" applyFont="1" applyFill="1" applyBorder="1" applyAlignment="1">
      <alignment horizontal="center"/>
    </xf>
    <xf numFmtId="0" fontId="15" fillId="5" borderId="8" xfId="0" applyFont="1" applyFill="1" applyBorder="1"/>
    <xf numFmtId="0" fontId="67" fillId="3" borderId="18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8" fontId="25" fillId="5" borderId="0" xfId="0" applyNumberFormat="1" applyFont="1" applyFill="1" applyProtection="1">
      <protection hidden="1"/>
    </xf>
    <xf numFmtId="8" fontId="25" fillId="0" borderId="38" xfId="0" applyNumberFormat="1" applyFont="1" applyBorder="1" applyProtection="1">
      <protection hidden="1"/>
    </xf>
    <xf numFmtId="8" fontId="12" fillId="5" borderId="0" xfId="0" applyNumberFormat="1" applyFont="1" applyFill="1" applyProtection="1">
      <protection hidden="1"/>
    </xf>
    <xf numFmtId="8" fontId="25" fillId="5" borderId="0" xfId="0" applyNumberFormat="1" applyFont="1" applyFill="1"/>
    <xf numFmtId="8" fontId="25" fillId="5" borderId="38" xfId="0" applyNumberFormat="1" applyFont="1" applyFill="1" applyBorder="1"/>
    <xf numFmtId="10" fontId="61" fillId="5" borderId="0" xfId="0" applyNumberFormat="1" applyFont="1" applyFill="1" applyAlignment="1" applyProtection="1">
      <alignment horizontal="right"/>
      <protection hidden="1"/>
    </xf>
    <xf numFmtId="10" fontId="10" fillId="5" borderId="0" xfId="0" applyNumberFormat="1" applyFont="1" applyFill="1" applyProtection="1">
      <protection hidden="1"/>
    </xf>
    <xf numFmtId="9" fontId="76" fillId="5" borderId="0" xfId="0" applyNumberFormat="1" applyFont="1" applyFill="1" applyAlignment="1" applyProtection="1">
      <alignment horizontal="right"/>
      <protection hidden="1"/>
    </xf>
    <xf numFmtId="0" fontId="10" fillId="3" borderId="0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12" fillId="3" borderId="0" xfId="0" applyFont="1" applyFill="1" applyBorder="1" applyProtection="1">
      <protection hidden="1"/>
    </xf>
    <xf numFmtId="169" fontId="25" fillId="5" borderId="0" xfId="0" applyNumberFormat="1" applyFont="1" applyFill="1" applyBorder="1" applyProtection="1">
      <protection hidden="1"/>
    </xf>
    <xf numFmtId="4" fontId="19" fillId="3" borderId="0" xfId="0" applyNumberFormat="1" applyFont="1" applyFill="1" applyBorder="1" applyAlignment="1" applyProtection="1">
      <alignment horizontal="center" wrapText="1"/>
      <protection hidden="1"/>
    </xf>
    <xf numFmtId="166" fontId="20" fillId="3" borderId="0" xfId="0" applyNumberFormat="1" applyFont="1" applyFill="1" applyBorder="1" applyAlignment="1" applyProtection="1">
      <alignment horizontal="center" wrapText="1"/>
      <protection hidden="1"/>
    </xf>
    <xf numFmtId="166" fontId="20" fillId="3" borderId="21" xfId="0" applyNumberFormat="1" applyFont="1" applyFill="1" applyBorder="1" applyAlignment="1" applyProtection="1">
      <alignment horizontal="center" wrapText="1"/>
      <protection hidden="1"/>
    </xf>
    <xf numFmtId="0" fontId="5" fillId="5" borderId="0" xfId="0" applyFont="1" applyFill="1" applyBorder="1"/>
    <xf numFmtId="0" fontId="21" fillId="5" borderId="0" xfId="0" applyFont="1" applyFill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12" fillId="0" borderId="0" xfId="0" applyFont="1" applyBorder="1"/>
    <xf numFmtId="0" fontId="40" fillId="5" borderId="0" xfId="0" applyFont="1" applyFill="1" applyBorder="1" applyAlignment="1" applyProtection="1">
      <alignment horizontal="right"/>
      <protection hidden="1"/>
    </xf>
    <xf numFmtId="0" fontId="12" fillId="5" borderId="0" xfId="0" applyFont="1" applyFill="1" applyBorder="1"/>
    <xf numFmtId="0" fontId="11" fillId="5" borderId="0" xfId="0" applyFont="1" applyFill="1" applyBorder="1"/>
    <xf numFmtId="0" fontId="23" fillId="3" borderId="0" xfId="0" applyFont="1" applyFill="1" applyBorder="1"/>
    <xf numFmtId="0" fontId="12" fillId="3" borderId="0" xfId="0" applyFont="1" applyFill="1" applyBorder="1"/>
    <xf numFmtId="0" fontId="9" fillId="5" borderId="0" xfId="0" applyFont="1" applyFill="1" applyBorder="1"/>
    <xf numFmtId="0" fontId="15" fillId="5" borderId="0" xfId="0" applyFont="1" applyFill="1" applyBorder="1"/>
    <xf numFmtId="0" fontId="12" fillId="5" borderId="0" xfId="0" applyFont="1" applyFill="1" applyBorder="1" applyProtection="1">
      <protection locked="0"/>
    </xf>
    <xf numFmtId="0" fontId="15" fillId="3" borderId="0" xfId="0" applyFont="1" applyFill="1" applyBorder="1"/>
    <xf numFmtId="0" fontId="10" fillId="3" borderId="0" xfId="0" applyFont="1" applyFill="1" applyBorder="1"/>
    <xf numFmtId="0" fontId="12" fillId="5" borderId="0" xfId="0" applyFont="1" applyFill="1" applyBorder="1" applyAlignment="1">
      <alignment horizontal="center"/>
    </xf>
    <xf numFmtId="0" fontId="54" fillId="5" borderId="0" xfId="0" applyFont="1" applyFill="1" applyBorder="1"/>
    <xf numFmtId="0" fontId="53" fillId="5" borderId="0" xfId="0" applyFont="1" applyFill="1" applyBorder="1"/>
    <xf numFmtId="0" fontId="55" fillId="5" borderId="0" xfId="0" applyFont="1" applyFill="1" applyBorder="1" applyAlignment="1" applyProtection="1">
      <alignment wrapText="1"/>
      <protection hidden="1"/>
    </xf>
    <xf numFmtId="0" fontId="15" fillId="5" borderId="0" xfId="0" applyFont="1" applyFill="1" applyBorder="1" applyAlignment="1">
      <alignment horizontal="right"/>
    </xf>
    <xf numFmtId="0" fontId="77" fillId="5" borderId="0" xfId="0" applyFont="1" applyFill="1" applyBorder="1" applyAlignment="1">
      <alignment horizontal="right"/>
    </xf>
    <xf numFmtId="0" fontId="12" fillId="12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right"/>
    </xf>
    <xf numFmtId="0" fontId="38" fillId="5" borderId="0" xfId="0" applyFont="1" applyFill="1" applyBorder="1"/>
    <xf numFmtId="0" fontId="43" fillId="5" borderId="0" xfId="0" applyFont="1" applyFill="1" applyBorder="1" applyAlignment="1">
      <alignment horizontal="left"/>
    </xf>
    <xf numFmtId="0" fontId="43" fillId="5" borderId="0" xfId="0" applyFont="1" applyFill="1" applyBorder="1" applyAlignment="1">
      <alignment horizontal="center"/>
    </xf>
    <xf numFmtId="20" fontId="44" fillId="5" borderId="0" xfId="0" applyNumberFormat="1" applyFont="1" applyFill="1" applyBorder="1" applyAlignment="1">
      <alignment horizontal="center"/>
    </xf>
    <xf numFmtId="0" fontId="44" fillId="5" borderId="0" xfId="0" applyFont="1" applyFill="1" applyBorder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13" fillId="5" borderId="0" xfId="0" applyFont="1" applyFill="1" applyBorder="1" applyProtection="1">
      <protection hidden="1"/>
    </xf>
    <xf numFmtId="164" fontId="10" fillId="5" borderId="0" xfId="0" applyNumberFormat="1" applyFont="1" applyFill="1" applyBorder="1"/>
    <xf numFmtId="168" fontId="48" fillId="9" borderId="0" xfId="1" applyNumberFormat="1" applyFont="1" applyFill="1" applyBorder="1" applyProtection="1">
      <protection locked="0"/>
    </xf>
    <xf numFmtId="20" fontId="47" fillId="5" borderId="0" xfId="0" applyNumberFormat="1" applyFont="1" applyFill="1" applyBorder="1" applyProtection="1">
      <protection locked="0"/>
    </xf>
    <xf numFmtId="166" fontId="49" fillId="5" borderId="0" xfId="0" applyNumberFormat="1" applyFont="1" applyFill="1" applyBorder="1" applyProtection="1">
      <protection hidden="1"/>
    </xf>
    <xf numFmtId="166" fontId="48" fillId="5" borderId="0" xfId="0" applyNumberFormat="1" applyFont="1" applyFill="1" applyBorder="1" applyProtection="1">
      <protection locked="0"/>
    </xf>
    <xf numFmtId="166" fontId="39" fillId="5" borderId="0" xfId="0" applyNumberFormat="1" applyFont="1" applyFill="1" applyBorder="1" applyAlignment="1" applyProtection="1">
      <alignment horizontal="center"/>
      <protection locked="0"/>
    </xf>
    <xf numFmtId="166" fontId="50" fillId="5" borderId="0" xfId="0" applyNumberFormat="1" applyFont="1" applyFill="1" applyBorder="1" applyAlignment="1" applyProtection="1">
      <alignment wrapText="1"/>
      <protection hidden="1"/>
    </xf>
    <xf numFmtId="2" fontId="23" fillId="5" borderId="0" xfId="0" applyNumberFormat="1" applyFont="1" applyFill="1" applyBorder="1" applyProtection="1">
      <protection hidden="1"/>
    </xf>
    <xf numFmtId="2" fontId="24" fillId="5" borderId="0" xfId="0" applyNumberFormat="1" applyFont="1" applyFill="1" applyBorder="1" applyProtection="1">
      <protection hidden="1"/>
    </xf>
    <xf numFmtId="2" fontId="68" fillId="5" borderId="0" xfId="0" applyNumberFormat="1" applyFont="1" applyFill="1" applyBorder="1" applyProtection="1">
      <protection hidden="1"/>
    </xf>
    <xf numFmtId="2" fontId="15" fillId="5" borderId="0" xfId="0" applyNumberFormat="1" applyFont="1" applyFill="1" applyBorder="1" applyProtection="1">
      <protection hidden="1"/>
    </xf>
    <xf numFmtId="2" fontId="58" fillId="5" borderId="0" xfId="0" applyNumberFormat="1" applyFont="1" applyFill="1" applyBorder="1" applyProtection="1">
      <protection hidden="1"/>
    </xf>
    <xf numFmtId="2" fontId="10" fillId="5" borderId="0" xfId="0" applyNumberFormat="1" applyFont="1" applyFill="1" applyBorder="1" applyProtection="1">
      <protection hidden="1"/>
    </xf>
    <xf numFmtId="165" fontId="10" fillId="5" borderId="0" xfId="0" applyNumberFormat="1" applyFont="1" applyFill="1" applyBorder="1" applyProtection="1">
      <protection hidden="1"/>
    </xf>
    <xf numFmtId="2" fontId="7" fillId="5" borderId="0" xfId="0" applyNumberFormat="1" applyFont="1" applyFill="1" applyBorder="1" applyAlignment="1" applyProtection="1">
      <alignment horizontal="center"/>
      <protection hidden="1"/>
    </xf>
    <xf numFmtId="0" fontId="31" fillId="5" borderId="0" xfId="0" applyFont="1" applyFill="1" applyBorder="1" applyAlignment="1" applyProtection="1">
      <alignment horizontal="center" vertical="center" wrapText="1"/>
      <protection locked="0"/>
    </xf>
    <xf numFmtId="166" fontId="15" fillId="5" borderId="0" xfId="0" applyNumberFormat="1" applyFont="1" applyFill="1" applyBorder="1" applyAlignment="1" applyProtection="1">
      <alignment horizontal="right"/>
      <protection hidden="1"/>
    </xf>
    <xf numFmtId="0" fontId="28" fillId="5" borderId="0" xfId="0" applyFont="1" applyFill="1" applyBorder="1" applyAlignment="1" applyProtection="1">
      <alignment horizontal="right"/>
      <protection hidden="1"/>
    </xf>
    <xf numFmtId="164" fontId="23" fillId="5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" fillId="5" borderId="0" xfId="0" applyFont="1" applyFill="1" applyBorder="1"/>
    <xf numFmtId="0" fontId="12" fillId="5" borderId="0" xfId="0" applyFont="1" applyFill="1" applyBorder="1" applyAlignment="1">
      <alignment horizontal="right"/>
    </xf>
    <xf numFmtId="0" fontId="0" fillId="5" borderId="0" xfId="0" applyFill="1" applyBorder="1" applyProtection="1">
      <protection locked="0"/>
    </xf>
    <xf numFmtId="0" fontId="29" fillId="5" borderId="0" xfId="0" applyFont="1" applyFill="1" applyBorder="1"/>
    <xf numFmtId="0" fontId="30" fillId="5" borderId="0" xfId="0" applyFont="1" applyFill="1" applyBorder="1"/>
    <xf numFmtId="0" fontId="12" fillId="5" borderId="18" xfId="0" applyFont="1" applyFill="1" applyBorder="1"/>
    <xf numFmtId="0" fontId="9" fillId="5" borderId="0" xfId="0" applyFont="1" applyFill="1" applyBorder="1" applyProtection="1">
      <protection hidden="1"/>
    </xf>
    <xf numFmtId="0" fontId="14" fillId="5" borderId="0" xfId="0" applyFont="1" applyFill="1" applyBorder="1" applyAlignment="1">
      <alignment horizontal="right"/>
    </xf>
    <xf numFmtId="0" fontId="9" fillId="5" borderId="0" xfId="0" applyFont="1" applyFill="1" applyBorder="1" applyAlignment="1" applyProtection="1">
      <alignment horizontal="right"/>
      <protection hidden="1"/>
    </xf>
    <xf numFmtId="164" fontId="12" fillId="2" borderId="1" xfId="0" applyNumberFormat="1" applyFon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0" fontId="78" fillId="5" borderId="0" xfId="0" applyFont="1" applyFill="1" applyBorder="1" applyAlignment="1" applyProtection="1">
      <alignment horizontal="left" vertical="center" wrapText="1"/>
      <protection hidden="1"/>
    </xf>
    <xf numFmtId="0" fontId="79" fillId="5" borderId="0" xfId="0" applyFont="1" applyFill="1" applyBorder="1" applyAlignment="1" applyProtection="1">
      <alignment horizontal="left" vertical="center" wrapText="1"/>
      <protection hidden="1"/>
    </xf>
    <xf numFmtId="20" fontId="9" fillId="5" borderId="6" xfId="0" applyNumberFormat="1" applyFont="1" applyFill="1" applyBorder="1" applyAlignment="1">
      <alignment horizontal="center"/>
    </xf>
    <xf numFmtId="0" fontId="46" fillId="0" borderId="12" xfId="0" applyFont="1" applyBorder="1" applyAlignment="1">
      <alignment horizontal="center"/>
    </xf>
    <xf numFmtId="0" fontId="11" fillId="2" borderId="0" xfId="0" applyFont="1" applyFill="1" applyBorder="1" applyProtection="1">
      <protection locked="0"/>
    </xf>
    <xf numFmtId="0" fontId="17" fillId="2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6" fillId="2" borderId="0" xfId="0" applyFont="1" applyFill="1" applyBorder="1" applyProtection="1">
      <protection locked="0"/>
    </xf>
    <xf numFmtId="0" fontId="17" fillId="0" borderId="0" xfId="0" applyFont="1" applyBorder="1" applyProtection="1">
      <protection locked="0"/>
    </xf>
    <xf numFmtId="0" fontId="16" fillId="2" borderId="9" xfId="0" applyFont="1" applyFill="1" applyBorder="1" applyProtection="1">
      <protection locked="0"/>
    </xf>
    <xf numFmtId="0" fontId="18" fillId="0" borderId="46" xfId="0" applyFont="1" applyBorder="1" applyProtection="1">
      <protection locked="0"/>
    </xf>
    <xf numFmtId="0" fontId="18" fillId="0" borderId="10" xfId="0" applyFont="1" applyBorder="1" applyProtection="1">
      <protection locked="0"/>
    </xf>
    <xf numFmtId="164" fontId="42" fillId="2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4" fontId="4" fillId="5" borderId="0" xfId="0" applyNumberFormat="1" applyFont="1" applyFill="1" applyBorder="1"/>
    <xf numFmtId="0" fontId="0" fillId="0" borderId="0" xfId="0" applyBorder="1"/>
    <xf numFmtId="0" fontId="26" fillId="5" borderId="0" xfId="0" applyFont="1" applyFill="1" applyBorder="1" applyAlignment="1" applyProtection="1">
      <alignment wrapText="1"/>
      <protection hidden="1"/>
    </xf>
    <xf numFmtId="0" fontId="72" fillId="0" borderId="0" xfId="0" applyFont="1" applyBorder="1" applyAlignment="1" applyProtection="1">
      <alignment wrapText="1"/>
      <protection hidden="1"/>
    </xf>
    <xf numFmtId="0" fontId="17" fillId="10" borderId="13" xfId="0" applyFont="1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75" fillId="11" borderId="16" xfId="0" applyFont="1" applyFill="1" applyBorder="1" applyAlignment="1" applyProtection="1">
      <alignment horizontal="center"/>
      <protection hidden="1"/>
    </xf>
    <xf numFmtId="0" fontId="75" fillId="11" borderId="17" xfId="0" applyFont="1" applyFill="1" applyBorder="1" applyAlignment="1" applyProtection="1">
      <alignment horizontal="center"/>
      <protection hidden="1"/>
    </xf>
    <xf numFmtId="0" fontId="74" fillId="7" borderId="13" xfId="0" applyFont="1" applyFill="1" applyBorder="1" applyAlignment="1">
      <alignment horizontal="center"/>
    </xf>
    <xf numFmtId="0" fontId="74" fillId="7" borderId="23" xfId="0" applyFont="1" applyFill="1" applyBorder="1" applyAlignment="1">
      <alignment horizontal="center"/>
    </xf>
    <xf numFmtId="0" fontId="74" fillId="7" borderId="14" xfId="0" applyFont="1" applyFill="1" applyBorder="1" applyAlignment="1">
      <alignment horizontal="center"/>
    </xf>
    <xf numFmtId="0" fontId="0" fillId="0" borderId="1" xfId="0" applyBorder="1"/>
    <xf numFmtId="0" fontId="12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3" fillId="6" borderId="13" xfId="0" applyFont="1" applyFill="1" applyBorder="1" applyAlignment="1" applyProtection="1">
      <alignment horizontal="center"/>
      <protection hidden="1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9" fillId="5" borderId="18" xfId="0" applyFont="1" applyFill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right"/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9" fillId="5" borderId="18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>
      <alignment horizontal="center" wrapText="1"/>
    </xf>
  </cellXfs>
  <cellStyles count="2">
    <cellStyle name="Excel Built-in Normal" xfId="1" xr:uid="{00000000-0005-0000-0000-000000000000}"/>
    <cellStyle name="Standard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ill>
        <patternFill>
          <bgColor theme="9" tint="0.39994506668294322"/>
        </patternFill>
      </fill>
    </dxf>
    <dxf>
      <font>
        <color theme="0"/>
      </font>
    </dxf>
    <dxf>
      <font>
        <color theme="0" tint="-0.14996795556505021"/>
      </font>
    </dxf>
    <dxf>
      <font>
        <strike val="0"/>
        <color theme="0" tint="-4.9989318521683403E-2"/>
      </font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pageSetUpPr fitToPage="1"/>
  </sheetPr>
  <dimension ref="A1:CF40"/>
  <sheetViews>
    <sheetView tabSelected="1" zoomScaleNormal="100" zoomScaleSheetLayoutView="100" zoomScalePageLayoutView="170" workbookViewId="0">
      <pane xSplit="11" ySplit="14" topLeftCell="L15" activePane="bottomRight" state="frozen"/>
      <selection pane="topRight" activeCell="L1" sqref="L1"/>
      <selection pane="bottomLeft" activeCell="A15" sqref="A15"/>
      <selection pane="bottomRight" activeCell="L15" sqref="L15"/>
    </sheetView>
  </sheetViews>
  <sheetFormatPr baseColWidth="10" defaultColWidth="11.42578125" defaultRowHeight="14.25" x14ac:dyDescent="0.2"/>
  <cols>
    <col min="1" max="1" width="8.7109375" style="1" customWidth="1"/>
    <col min="2" max="2" width="8.28515625" style="1" customWidth="1"/>
    <col min="3" max="4" width="6.140625" style="1" customWidth="1"/>
    <col min="5" max="5" width="6.28515625" style="1" customWidth="1"/>
    <col min="6" max="6" width="5.7109375" style="1" customWidth="1"/>
    <col min="7" max="7" width="7.28515625" style="1" customWidth="1"/>
    <col min="8" max="8" width="8.7109375" style="1" customWidth="1"/>
    <col min="9" max="9" width="4.28515625" style="1" customWidth="1"/>
    <col min="10" max="10" width="5.42578125" style="1" customWidth="1"/>
    <col min="11" max="11" width="8.7109375" style="1" customWidth="1"/>
    <col min="12" max="12" width="8.28515625" style="1" customWidth="1"/>
    <col min="13" max="13" width="2" style="1" customWidth="1"/>
    <col min="14" max="14" width="5.7109375" style="1" customWidth="1"/>
    <col min="15" max="16" width="6.28515625" style="1" customWidth="1"/>
    <col min="17" max="17" width="6.85546875" style="1" customWidth="1"/>
    <col min="18" max="24" width="6.28515625" style="1" customWidth="1"/>
    <col min="25" max="25" width="14" style="1" bestFit="1" customWidth="1"/>
    <col min="26" max="26" width="3.140625" style="1" customWidth="1"/>
    <col min="27" max="27" width="3.7109375" style="1" customWidth="1"/>
    <col min="28" max="28" width="3" style="1" customWidth="1"/>
    <col min="29" max="29" width="7.7109375" style="1" customWidth="1"/>
    <col min="30" max="30" width="10.7109375" style="1" customWidth="1"/>
    <col min="31" max="31" width="8.7109375" style="1" customWidth="1"/>
    <col min="32" max="33" width="3.7109375" style="1" customWidth="1"/>
    <col min="34" max="34" width="15.5703125" style="1" customWidth="1"/>
    <col min="35" max="35" width="3.42578125" style="1" customWidth="1"/>
    <col min="36" max="37" width="5.7109375" style="1" customWidth="1"/>
    <col min="38" max="38" width="11.42578125" style="1"/>
    <col min="39" max="39" width="12" style="1" customWidth="1"/>
    <col min="40" max="16384" width="11.42578125" style="1"/>
  </cols>
  <sheetData>
    <row r="1" spans="1:84" ht="16.5" thickBot="1" x14ac:dyDescent="0.3">
      <c r="A1" s="174" t="s">
        <v>23</v>
      </c>
      <c r="B1" s="238" t="s">
        <v>83</v>
      </c>
      <c r="C1" s="239"/>
      <c r="D1" s="239"/>
      <c r="E1" s="240"/>
      <c r="F1" s="240"/>
      <c r="G1" s="240"/>
      <c r="H1" s="175" t="s">
        <v>13</v>
      </c>
      <c r="I1" s="175"/>
      <c r="J1" s="175"/>
      <c r="K1" s="175"/>
      <c r="L1" s="241"/>
      <c r="M1" s="242"/>
      <c r="N1" s="243"/>
      <c r="O1" s="243"/>
      <c r="P1" s="243"/>
      <c r="Q1" s="243"/>
      <c r="R1" s="243"/>
      <c r="S1" s="243"/>
      <c r="T1" s="243"/>
      <c r="U1" s="243"/>
      <c r="V1" s="243"/>
      <c r="W1" s="244"/>
      <c r="X1" s="176"/>
      <c r="Y1" s="177"/>
      <c r="Z1" s="178" t="str">
        <f>AD1</f>
        <v>Version  6.08.2025 G</v>
      </c>
      <c r="AA1" s="92"/>
      <c r="AB1" s="18"/>
      <c r="AC1" s="19"/>
      <c r="AD1" s="62" t="str">
        <f>"Version  6.08.2025 "&amp;CHOOSE(Regel,"A","B","C","D","F","G","H","I")</f>
        <v>Version  6.08.2025 G</v>
      </c>
      <c r="AE1" s="20"/>
      <c r="AF1" s="19"/>
      <c r="AG1" s="19"/>
      <c r="AH1" s="34">
        <v>6</v>
      </c>
      <c r="AI1" s="16"/>
      <c r="AJ1" s="16"/>
      <c r="AK1" s="16"/>
      <c r="AL1" s="63" t="s">
        <v>66</v>
      </c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84" ht="12" customHeight="1" x14ac:dyDescent="0.25">
      <c r="A2" s="179"/>
      <c r="B2" s="179"/>
      <c r="C2" s="179"/>
      <c r="D2" s="179"/>
      <c r="E2" s="179"/>
      <c r="F2" s="179"/>
      <c r="G2" s="179"/>
      <c r="H2" s="180"/>
      <c r="I2" s="179"/>
      <c r="J2" s="179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79"/>
      <c r="X2" s="179"/>
      <c r="Y2" s="179"/>
      <c r="Z2" s="231" t="s">
        <v>88</v>
      </c>
      <c r="AA2" s="10"/>
      <c r="AB2" s="4"/>
      <c r="AC2" s="4"/>
      <c r="AD2" s="4"/>
      <c r="AE2" s="4"/>
      <c r="AF2" s="4"/>
      <c r="AG2" s="4"/>
      <c r="AH2" s="22" t="s">
        <v>71</v>
      </c>
      <c r="AI2" s="4"/>
      <c r="AJ2" s="4"/>
      <c r="AK2" s="4"/>
      <c r="AL2" s="63" t="s">
        <v>55</v>
      </c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84" ht="15" customHeight="1" thickBot="1" x14ac:dyDescent="0.3">
      <c r="A3" s="177" t="s">
        <v>0</v>
      </c>
      <c r="B3" s="245" t="s">
        <v>84</v>
      </c>
      <c r="C3" s="246"/>
      <c r="D3" s="246"/>
      <c r="E3" s="246"/>
      <c r="F3" s="179"/>
      <c r="G3" s="181" t="s">
        <v>63</v>
      </c>
      <c r="H3" s="182"/>
      <c r="I3" s="182"/>
      <c r="J3" s="182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4"/>
      <c r="Y3" s="184"/>
      <c r="Z3" s="231" t="s">
        <v>89</v>
      </c>
      <c r="AA3" s="10"/>
      <c r="AB3" s="10" t="s">
        <v>24</v>
      </c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pans="1:84" ht="15" thickBot="1" x14ac:dyDescent="0.25">
      <c r="A4" s="179"/>
      <c r="B4" s="185"/>
      <c r="C4" s="185"/>
      <c r="D4" s="185"/>
      <c r="E4" s="185"/>
      <c r="F4" s="179"/>
      <c r="G4" s="186" t="s">
        <v>42</v>
      </c>
      <c r="H4" s="182"/>
      <c r="I4" s="53" t="s">
        <v>86</v>
      </c>
      <c r="J4" s="182"/>
      <c r="K4" s="183"/>
      <c r="L4" s="254" t="str">
        <f>IF(AND(SUM(Fahrzeiten)&gt;0,ISNA(VLOOKUP("!",AusWahl1,1,FALSE))=FALSE),"Wenn Mehrzeiten durch Lenkzeiten entstanden sind, bitte prüfen, ob hierdurch Mehrarbeit entstanden ist. Und speziell - ob hierbei zulässige Stundenzahlen überschritten werden durften.","")</f>
        <v/>
      </c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10"/>
      <c r="AB4" s="10" t="s">
        <v>67</v>
      </c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84" ht="15" customHeight="1" thickBot="1" x14ac:dyDescent="0.3">
      <c r="A5" s="177" t="s">
        <v>4</v>
      </c>
      <c r="B5" s="247" t="s">
        <v>87</v>
      </c>
      <c r="C5" s="248"/>
      <c r="D5" s="248"/>
      <c r="E5" s="249"/>
      <c r="F5" s="179"/>
      <c r="G5" s="187" t="s">
        <v>44</v>
      </c>
      <c r="H5" s="182"/>
      <c r="I5" s="53" t="s">
        <v>72</v>
      </c>
      <c r="J5" s="182"/>
      <c r="K5" s="183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10"/>
      <c r="AB5" s="4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84" ht="15" customHeight="1" x14ac:dyDescent="0.2">
      <c r="A6" s="179"/>
      <c r="B6" s="179"/>
      <c r="C6" s="177"/>
      <c r="D6" s="179"/>
      <c r="E6" s="179"/>
      <c r="F6" s="179"/>
      <c r="G6" s="179"/>
      <c r="H6" s="179"/>
      <c r="I6" s="179"/>
      <c r="J6" s="179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79"/>
      <c r="Y6" s="179"/>
      <c r="Z6" s="229"/>
      <c r="AA6" s="10"/>
      <c r="AB6" s="38" t="s">
        <v>33</v>
      </c>
      <c r="AC6" s="39"/>
      <c r="AD6" s="39"/>
      <c r="AE6" s="39"/>
      <c r="AF6" s="39"/>
      <c r="AG6" s="39"/>
      <c r="AH6" s="39"/>
      <c r="AI6" s="10"/>
      <c r="AJ6" s="10"/>
      <c r="AK6" s="10"/>
      <c r="AL6" s="10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84" ht="15" x14ac:dyDescent="0.25">
      <c r="A7" s="179" t="s">
        <v>5</v>
      </c>
      <c r="B7" s="188" t="s">
        <v>3</v>
      </c>
      <c r="C7" s="250">
        <v>45831</v>
      </c>
      <c r="D7" s="251"/>
      <c r="E7" s="188" t="s">
        <v>1</v>
      </c>
      <c r="F7" s="252">
        <f>B21</f>
        <v>45837</v>
      </c>
      <c r="G7" s="253"/>
      <c r="H7" s="179"/>
      <c r="I7" s="189"/>
      <c r="J7" s="189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79"/>
      <c r="Y7" s="179"/>
      <c r="Z7" s="229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84" ht="7.15" customHeight="1" thickBot="1" x14ac:dyDescent="0.3">
      <c r="A8" s="179"/>
      <c r="B8" s="179"/>
      <c r="C8" s="179"/>
      <c r="D8" s="179"/>
      <c r="E8" s="179"/>
      <c r="F8" s="179"/>
      <c r="G8" s="179"/>
      <c r="H8" s="234" t="s">
        <v>65</v>
      </c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191"/>
      <c r="T8" s="190"/>
      <c r="U8" s="183"/>
      <c r="V8" s="183"/>
      <c r="W8" s="179"/>
      <c r="X8" s="179"/>
      <c r="Y8" s="179"/>
      <c r="Z8" s="229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84" ht="15" customHeight="1" thickBot="1" x14ac:dyDescent="0.3">
      <c r="A9" s="177"/>
      <c r="B9" s="192" t="s">
        <v>32</v>
      </c>
      <c r="C9" s="113">
        <v>50</v>
      </c>
      <c r="D9" s="179"/>
      <c r="E9" s="177"/>
      <c r="F9" s="193" t="s">
        <v>70</v>
      </c>
      <c r="G9" s="194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191"/>
      <c r="T9" s="190"/>
      <c r="U9" s="183"/>
      <c r="V9" s="184"/>
      <c r="W9" s="177"/>
      <c r="X9" s="177"/>
      <c r="Y9" s="195" t="str">
        <f>"Ansatz: Tage gearbeitet: "&amp;SUM(AnzahlTage)</f>
        <v>Ansatz: Tage gearbeitet: 5</v>
      </c>
      <c r="Z9" s="229"/>
      <c r="AA9" s="10"/>
      <c r="AB9" s="266" t="s">
        <v>18</v>
      </c>
      <c r="AC9" s="267"/>
      <c r="AD9" s="267"/>
      <c r="AE9" s="267"/>
      <c r="AF9" s="268"/>
      <c r="AG9" s="64"/>
      <c r="AH9" s="67"/>
      <c r="AI9" s="68"/>
      <c r="AJ9" s="68"/>
      <c r="AK9" s="68"/>
      <c r="AL9" s="69" t="s">
        <v>45</v>
      </c>
      <c r="AM9" s="70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84" ht="5.65" customHeight="1" thickBot="1" x14ac:dyDescent="0.3">
      <c r="A10" s="196"/>
      <c r="B10" s="196"/>
      <c r="C10" s="196"/>
      <c r="D10" s="196"/>
      <c r="E10" s="196"/>
      <c r="F10" s="196"/>
      <c r="G10" s="196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191"/>
      <c r="T10" s="190"/>
      <c r="U10" s="183"/>
      <c r="V10" s="196"/>
      <c r="W10" s="196"/>
      <c r="X10" s="196"/>
      <c r="Y10" s="196"/>
      <c r="Z10" s="220"/>
      <c r="AA10" s="91"/>
      <c r="AB10" s="4"/>
      <c r="AC10" s="4"/>
      <c r="AD10" s="4"/>
      <c r="AE10" s="4"/>
      <c r="AF10" s="4"/>
      <c r="AG10" s="4"/>
      <c r="AH10" s="71"/>
      <c r="AI10" s="4"/>
      <c r="AJ10" s="4"/>
      <c r="AK10" s="4"/>
      <c r="AM10" s="7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84" ht="16.899999999999999" customHeight="1" thickBot="1" x14ac:dyDescent="0.3">
      <c r="A11" s="197" t="s">
        <v>28</v>
      </c>
      <c r="B11" s="198"/>
      <c r="C11" s="199">
        <v>0</v>
      </c>
      <c r="D11" s="199">
        <v>0</v>
      </c>
      <c r="E11" s="199">
        <v>0</v>
      </c>
      <c r="F11" s="199">
        <v>0</v>
      </c>
      <c r="G11" s="200"/>
      <c r="H11" s="199">
        <v>0</v>
      </c>
      <c r="I11" s="200" t="s">
        <v>27</v>
      </c>
      <c r="J11" s="200" t="s">
        <v>27</v>
      </c>
      <c r="K11" s="199"/>
      <c r="L11" s="260" t="s">
        <v>38</v>
      </c>
      <c r="M11" s="261"/>
      <c r="N11" s="262"/>
      <c r="O11" s="256" t="s">
        <v>43</v>
      </c>
      <c r="P11" s="257"/>
      <c r="Q11" s="258" t="s">
        <v>61</v>
      </c>
      <c r="R11" s="258"/>
      <c r="S11" s="258"/>
      <c r="T11" s="258"/>
      <c r="U11" s="258"/>
      <c r="V11" s="258"/>
      <c r="W11" s="259"/>
      <c r="X11" s="196"/>
      <c r="Y11" s="196"/>
      <c r="Z11" s="220"/>
      <c r="AA11" s="91"/>
      <c r="AB11" s="12"/>
      <c r="AC11" s="25"/>
      <c r="AD11" s="25"/>
      <c r="AE11" s="25"/>
      <c r="AF11" s="13"/>
      <c r="AG11" s="11"/>
      <c r="AH11" s="73"/>
      <c r="AI11" s="74" t="s">
        <v>48</v>
      </c>
      <c r="AJ11" s="74"/>
      <c r="AK11" s="74"/>
      <c r="AL11" s="61">
        <v>1300</v>
      </c>
      <c r="AM11" s="7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84" ht="15" x14ac:dyDescent="0.25">
      <c r="A12" s="179"/>
      <c r="B12" s="42" t="s">
        <v>2</v>
      </c>
      <c r="C12" s="42" t="s">
        <v>3</v>
      </c>
      <c r="D12" s="45" t="s">
        <v>1</v>
      </c>
      <c r="E12" s="17" t="s">
        <v>29</v>
      </c>
      <c r="F12" s="15" t="s">
        <v>29</v>
      </c>
      <c r="G12" s="7" t="s">
        <v>15</v>
      </c>
      <c r="H12" s="111" t="s">
        <v>62</v>
      </c>
      <c r="I12" s="35" t="s">
        <v>17</v>
      </c>
      <c r="J12" s="40" t="s">
        <v>34</v>
      </c>
      <c r="K12" s="51" t="s">
        <v>37</v>
      </c>
      <c r="L12" s="156" t="s">
        <v>19</v>
      </c>
      <c r="M12" s="201"/>
      <c r="N12" s="157" t="s">
        <v>69</v>
      </c>
      <c r="O12" s="137" t="s">
        <v>73</v>
      </c>
      <c r="P12" s="146" t="s">
        <v>79</v>
      </c>
      <c r="Q12" s="148" t="str">
        <f>IF(ISNUMBER(Tagesstunden),"&gt; "&amp;Tagesstunden&amp;" Std","&gt; "&amp;Wochenstunden/5&amp;" Std")</f>
        <v>&gt; 10 Std</v>
      </c>
      <c r="R12" s="55" t="s">
        <v>74</v>
      </c>
      <c r="S12" s="55" t="s">
        <v>22</v>
      </c>
      <c r="T12" s="56" t="s">
        <v>56</v>
      </c>
      <c r="U12" s="56" t="s">
        <v>20</v>
      </c>
      <c r="V12" s="56" t="s">
        <v>21</v>
      </c>
      <c r="W12" s="57" t="s">
        <v>36</v>
      </c>
      <c r="X12" s="48" t="s">
        <v>17</v>
      </c>
      <c r="Y12" s="5" t="s">
        <v>8</v>
      </c>
      <c r="Z12" s="220"/>
      <c r="AA12" s="91"/>
      <c r="AB12" s="269" t="s">
        <v>39</v>
      </c>
      <c r="AC12" s="270"/>
      <c r="AD12" s="271" t="s">
        <v>12</v>
      </c>
      <c r="AE12" s="272"/>
      <c r="AF12" s="26"/>
      <c r="AG12" s="66"/>
      <c r="AH12" s="71"/>
      <c r="AI12" s="11"/>
      <c r="AJ12" s="11"/>
      <c r="AK12" s="11"/>
      <c r="AL12" s="75"/>
      <c r="AM12" s="76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84" ht="15.75" thickBot="1" x14ac:dyDescent="0.3">
      <c r="A13" s="179"/>
      <c r="B13" s="43"/>
      <c r="C13" s="236" t="s">
        <v>41</v>
      </c>
      <c r="D13" s="237"/>
      <c r="E13" s="44" t="s">
        <v>31</v>
      </c>
      <c r="F13" s="24" t="s">
        <v>30</v>
      </c>
      <c r="G13" s="9" t="s">
        <v>16</v>
      </c>
      <c r="H13" s="112" t="s">
        <v>60</v>
      </c>
      <c r="I13" s="36" t="s">
        <v>26</v>
      </c>
      <c r="J13" s="23" t="s">
        <v>35</v>
      </c>
      <c r="K13" s="52" t="s">
        <v>38</v>
      </c>
      <c r="L13" s="58" t="s">
        <v>17</v>
      </c>
      <c r="M13" s="142"/>
      <c r="N13" s="49"/>
      <c r="O13" s="138" t="s">
        <v>57</v>
      </c>
      <c r="P13" s="147" t="s">
        <v>80</v>
      </c>
      <c r="Q13" s="149">
        <v>0.25</v>
      </c>
      <c r="R13" s="150">
        <v>0.5</v>
      </c>
      <c r="S13" s="151" t="str">
        <f>IF(S25&gt;0,"***","")</f>
        <v/>
      </c>
      <c r="T13" s="152">
        <v>1</v>
      </c>
      <c r="U13" s="153">
        <v>0.25</v>
      </c>
      <c r="V13" s="153">
        <v>0.75</v>
      </c>
      <c r="W13" s="154">
        <v>0.25</v>
      </c>
      <c r="X13" s="50" t="s">
        <v>14</v>
      </c>
      <c r="Y13" s="6"/>
      <c r="Z13" s="220"/>
      <c r="AA13" s="91"/>
      <c r="AB13" s="269" t="s">
        <v>40</v>
      </c>
      <c r="AC13" s="270"/>
      <c r="AD13" s="166" t="s">
        <v>10</v>
      </c>
      <c r="AE13" s="167" t="s">
        <v>11</v>
      </c>
      <c r="AF13" s="26"/>
      <c r="AG13" s="66"/>
      <c r="AH13" s="77"/>
      <c r="AI13" s="78" t="s">
        <v>46</v>
      </c>
      <c r="AJ13" s="78"/>
      <c r="AK13" s="165"/>
      <c r="AL13" s="158">
        <f xml:space="preserve">
IF(Wochenstunden&gt;0,AL11/Wochenstunden,
   IF(Tagesstunden&gt;0,AL11/5/Tagesstunden,0))</f>
        <v>26</v>
      </c>
      <c r="AM13" s="76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84" ht="15" customHeight="1" thickBot="1" x14ac:dyDescent="0.3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83" t="s">
        <v>64</v>
      </c>
      <c r="U14" s="179"/>
      <c r="V14" s="179"/>
      <c r="W14" s="179"/>
      <c r="X14" s="179"/>
      <c r="Y14" s="179"/>
      <c r="Z14" s="220"/>
      <c r="AA14" s="91"/>
      <c r="AB14" s="37"/>
      <c r="AC14" s="168"/>
      <c r="AD14" s="169"/>
      <c r="AE14" s="169"/>
      <c r="AF14" s="14"/>
      <c r="AG14" s="11"/>
      <c r="AH14" s="79"/>
      <c r="AI14" s="78" t="s">
        <v>47</v>
      </c>
      <c r="AJ14" s="110">
        <f>X25</f>
        <v>5</v>
      </c>
      <c r="AK14" s="165"/>
      <c r="AL14" s="158">
        <f>AL11/5*X25</f>
        <v>1300</v>
      </c>
      <c r="AM14" s="85" t="str">
        <f>"  für  "&amp;X25&amp;" Tage"</f>
        <v xml:space="preserve">  für  5 Tage</v>
      </c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84" ht="33.75" customHeight="1" thickBot="1" x14ac:dyDescent="0.35">
      <c r="A15" s="93" t="str">
        <f>CHOOSE(WEEKDAY(B15,2),"Montag","Dienstag","Mittwoch","Donnerstag","Freitag","Samstag","Sonntag")</f>
        <v>Montag</v>
      </c>
      <c r="B15" s="127">
        <f>C7</f>
        <v>45831</v>
      </c>
      <c r="C15" s="122">
        <v>0.33333333333333331</v>
      </c>
      <c r="D15" s="122">
        <v>0.8125</v>
      </c>
      <c r="E15" s="104">
        <v>3.125E-2</v>
      </c>
      <c r="F15" s="104"/>
      <c r="G15" s="107">
        <f t="shared" ref="G15:G21" si="0">IF(OR(NOT(ISNUMBER(C15)),NOT(ISNUMBER(D15))),0,D15-C15-E15-F15+(D15&lt;C15))</f>
        <v>0.44791666666666669</v>
      </c>
      <c r="H15" s="130"/>
      <c r="I15" s="131"/>
      <c r="J15" s="131"/>
      <c r="K15" s="108">
        <f>IF(G15&gt;TIMEVALUE("08:00:00"),G15,
IF(AND(G15&lt;TIMEVALUE("08:00:00"),I15="x"),TIMEVALUE("08:00:00"),
IF(AND(G15&lt;TIMEVALUE("08:00:00"),I15="x"),TIMEVALUE("08:00:00"),G15)))</f>
        <v>0.44791666666666669</v>
      </c>
      <c r="L15" s="103">
        <f t="shared" ref="L15:L21" si="1">IF(OR(NOT(ISNUMBER(C15)),NOT(ISNUMBER(D15))),"",
IF(K15*24&gt;8,K15*24,
IF(AND((K15*24)&lt;8,I15="x"),8,
IF(AND(K15*24&lt;8,I15="x"),8,K15*24))))</f>
        <v>10.75</v>
      </c>
      <c r="M15" s="144" t="str">
        <f t="shared" ref="M15:M21" si="2">IF(AND(ISNUMBER(C15),ISNUMBER(D15),L15&gt;12,FahrtOvertime="N"),"!","")</f>
        <v/>
      </c>
      <c r="N15" s="141">
        <f t="shared" ref="N15:N21" si="3">IF(AND(ISNUMBER(C15),ISNUMBER(D15)),IF(Tagesstunden&gt;1,Tagesstunden,Wochenstunden/5),"")</f>
        <v>10</v>
      </c>
      <c r="O15" s="46" t="str">
        <f>IF(OR(NOT(ISNUMBER(C15)),NOT(ISNUMBER(D15)),L15&lt;=11),"",
IF(AND(ISNUMBER(L15),AND(L15&gt;11,L15&lt;=12)),L15-11,1
))</f>
        <v/>
      </c>
      <c r="P15" s="46"/>
      <c r="Q15" s="47">
        <f t="shared" ref="Q15:Q21" si="4">IF(OR(NOT(ISNUMBER(C15)),NOT(ISNUMBER(D15))),"",
IF((L15-IF(FahrtZuschläge&lt;&gt;"J",H15*24))&gt;N15,
IF(L15-IF(FahrtZuschläge&lt;&gt;"J",H15*24)&lt;=N15+1,
L15-IF(FahrtZuschläge&lt;&gt;"J",H15*24)-SUM(R15)-N15,
IF(L15-IF(FahrtZuschläge&lt;&gt;"J",H15*24)&gt;=N15+1,1,"")),""))</f>
        <v>0.75</v>
      </c>
      <c r="R15" s="47" t="str">
        <f t="shared" ref="R15:R21" si="5">IF(OR(NOT(ISNUMBER(C15)),NOT(ISNUMBER(D15))),"",
IF(AND(ISNUMBER(C15),(L15-IF(FahrtZuschläge&lt;&gt;"J",H15*24))&gt;11,SUM(L15)-IF(FahrtZuschläge&lt;&gt;"J",H15*24)-11-SUM(S15)&lt;&gt;0),
SUM(L15)-IF(FahrtZuschläge&lt;&gt;"J",H15*24)-11-SUM(S15),""))</f>
        <v/>
      </c>
      <c r="S15" s="139" t="str">
        <f t="shared" ref="S15:S21" si="6">IF(OR(NOT(ISNUMBER(C15)),NOT(ISNUMBER(D15))),"",
      IF(AND(L15&gt;0,(L15-IF(FahrtZuschläge&lt;&gt;"J",H15*24))&gt;12,SUM(L15)-IF(FahrtZuschläge&lt;&gt;"J",H15*24)-12&lt;&gt;0),
SUM(L15)-IF(FahrtZuschläge&lt;&gt;"J",H15*24)-12,""))</f>
        <v/>
      </c>
      <c r="T15" s="95"/>
      <c r="U15" s="96" t="str">
        <f xml:space="preserve">
IF(AND(A15="Freitag",C15&gt;D15,(D15-TIME(0,0,0))*24&gt;0,D15*24&gt;4),(D15-TIME(0,0,0))*24,
IF(AND(A15="Samstag",C15&gt;D15),(1+TIME(24,0,0)-C15-E15)*24,
IF(AND(A15="Samstag",C15&lt;D15),((VALUE(D15+B15)-VALUE(C15+B15)))*24-(E15*24),
"")))</f>
        <v/>
      </c>
      <c r="V15" s="96" t="str">
        <f>IF(AND(SUM($X$15:X15)&gt;5,A15="Samstag",D15&lt;C15,W15&gt;0,W15-2&gt;0),-(VALUE(C15-D15+(C15&lt;D15))*24-HOUR(C15)),
IF(AND(SUM($X$15:X15)&gt;4,A15="Samstag",C15&gt;D15,),-(VALUE(D15-C15+(C15&lt;D15))*24),
IF(AND(SUM($X$15:X15)&gt;=5,A15="Sonntag",AC15&gt;0,(C15&lt;D15)),(D15-C15-E15)*24,
IF(AND(SUM($X$15:X15)&gt;=5,A15="Sonntag",AC15&gt;0,C15&gt;D15),(VALUE(D15-C15+(C15&gt;D15))*24-HOUR(D15)),
""))))</f>
        <v/>
      </c>
      <c r="W15" s="132">
        <f t="shared" ref="W15:W21" si="7" xml:space="preserve">
IF(L15=0,0,
IF(AND(C15&lt;D15,VALUE(D15)*24&gt;22,VALUE(C15)*24&gt;6),
VALUE(D15)*24-22,
IF(AND(C15&gt;D15,VALUE(D15)*24&lt;=6,VALUE(C15)*24&gt;6),
       ROUND((D15+1-IF(HOUR(C15)&lt;22,TIME(22,0,0),C15))*24,2),
             IF(AND(HOUR(C15)&lt;6,VALUE(D15)*24&lt;=6),
                     (D15-C15)*24,
             IF(AND(HOUR(C15)&lt;6,VALUE(D15)*24&gt;6),
                     (D15-C15)*24-(VALUE(D15)*24-6),
                      IF(AND(C15&gt;D15,VALUE(D15)*24&gt;6),
                          ROUND((D15+1-IF(HOUR(C15)&lt;22,TIME(22,0,0),C15))*24-(VALUE(D15)*24-6),2),
0))))))</f>
        <v>0</v>
      </c>
      <c r="X15" s="126">
        <f t="shared" ref="X15:X21" si="8">IF(J15="x",1,IF(OR(I15="x",SUM(L15)&gt;=Regel),1,
IF(K15&gt;0,"S","")))</f>
        <v>1</v>
      </c>
      <c r="Y15" s="97"/>
      <c r="Z15" s="220"/>
      <c r="AA15" s="91"/>
      <c r="AB15" s="37"/>
      <c r="AC15" s="170">
        <f t="shared" ref="AC15:AC21" si="9">IF(OR(NOT(ISNUMBER(C15)),NOT(ISNUMBER(D15))),0,((D15-C15-E15-F15-H15+(D15&lt;C15))*24))</f>
        <v>10.75</v>
      </c>
      <c r="AD15" s="171">
        <f t="shared" ref="AD15:AD20" si="10" xml:space="preserve">
IF(AND(C15&gt;0,C16&gt;0),
IF(AND(C16&gt;0,NOT(ISERROR(HOUR((VALUE(C16+B16))-VALUE(G15+C15+B15+E15))))),
((VALUE(C16+B16))-VALUE(G15+C15+B15+E15))*24,"???"),"")</f>
        <v>13.5</v>
      </c>
      <c r="AE15" s="172" t="str">
        <f xml:space="preserve">
IF(NOT(ISNUMBER(AD15)),"",
IF(AND(ROUND(L15,2)&gt;11,ROUND(AD15,2)&lt;11.5),"U",IF(ROUND(AD15,2)&lt;11,"U","")))</f>
        <v/>
      </c>
      <c r="AF15" s="28"/>
      <c r="AG15" s="41"/>
      <c r="AH15" s="77"/>
      <c r="AI15" s="78"/>
      <c r="AJ15" s="110"/>
      <c r="AK15" s="165"/>
      <c r="AL15" s="158"/>
      <c r="AM15" s="145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84" ht="33.75" customHeight="1" thickBot="1" x14ac:dyDescent="0.35">
      <c r="A16" s="93" t="str">
        <f t="shared" ref="A16:A21" si="11">CHOOSE(WEEKDAY(B16,2),"Montag","Dienstag","Mittwoch","Donnerstag","Freitag","Samstag","Sonntag")</f>
        <v>Dienstag</v>
      </c>
      <c r="B16" s="128">
        <f>B15+1</f>
        <v>45832</v>
      </c>
      <c r="C16" s="122">
        <v>0.375</v>
      </c>
      <c r="D16" s="122">
        <v>0.86458333333333337</v>
      </c>
      <c r="E16" s="105">
        <v>3.125E-2</v>
      </c>
      <c r="F16" s="105"/>
      <c r="G16" s="107">
        <f t="shared" si="0"/>
        <v>0.45833333333333337</v>
      </c>
      <c r="H16" s="123"/>
      <c r="I16" s="124"/>
      <c r="J16" s="124"/>
      <c r="K16" s="102">
        <f t="shared" ref="K16:K21" si="12">IF(G16&gt;TIMEVALUE("08:00:00"),G16,
IF(AND(G16&lt;TIMEVALUE("08:00:00"),I16="x"),TIMEVALUE("08:00:00"),
IF(AND(G16&lt;TIMEVALUE("08:00:00"),I16="x"),TIMEVALUE("08:00:00"),G16)))</f>
        <v>0.45833333333333337</v>
      </c>
      <c r="L16" s="103">
        <f t="shared" si="1"/>
        <v>11</v>
      </c>
      <c r="M16" s="144" t="str">
        <f t="shared" si="2"/>
        <v/>
      </c>
      <c r="N16" s="141">
        <f t="shared" si="3"/>
        <v>10</v>
      </c>
      <c r="O16" s="46" t="str">
        <f t="shared" ref="O16:O21" si="13">IF(OR(NOT(ISNUMBER(C16)),NOT(ISNUMBER(D16)),L16&lt;=11),"",
IF(AND(ISNUMBER(L16),AND(L16&gt;11,L16&lt;=12)),L16-11,1
))</f>
        <v/>
      </c>
      <c r="P16" s="46"/>
      <c r="Q16" s="47">
        <f t="shared" si="4"/>
        <v>1</v>
      </c>
      <c r="R16" s="47" t="str">
        <f t="shared" si="5"/>
        <v/>
      </c>
      <c r="S16" s="139" t="str">
        <f t="shared" si="6"/>
        <v/>
      </c>
      <c r="T16" s="33"/>
      <c r="U16" s="47" t="str">
        <f t="shared" ref="U16:U21" si="14" xml:space="preserve">
IF(AND(A16="Freitag",C16&gt;D16,(D16-TIME(0,0,0))*24&gt;0,D16*24&gt;4),(D16-TIME(0,0,0))*24,
IF(AND(A16="Samstag",C16&gt;D16),(1+TIME(24,0,0)-C16-E16)*24,
IF(AND(A16="Samstag",C16&lt;D16),((VALUE(D16+B16)-VALUE(C16+B16)))*24-(E16*24),
"")))</f>
        <v/>
      </c>
      <c r="V16" s="47" t="str">
        <f>IF(AND(SUM($X$15:X16)&gt;5,A16="Samstag",D16&lt;C16,W16&gt;0,W16-2&gt;0),-(VALUE(C16-D16+(C16&lt;D16))*24-HOUR(C16)),
IF(AND(SUM($X$15:X16)&gt;4,A16="Samstag",C16&gt;D16,),-(VALUE(D16-C16+(C16&lt;D16))*24),
IF(AND(SUM($X$15:X16)&gt;=5,A16="Sonntag",AC16&gt;0,(C16&lt;D16)),(D16-C16-E16)*24,
IF(AND(SUM($X$15:X16)&gt;=5,A16="Sonntag",AC16&gt;0,C16&gt;D16),(VALUE(D16-C16+(C16&gt;D16))*24-HOUR(D16)),
""))))</f>
        <v/>
      </c>
      <c r="W16" s="125">
        <f t="shared" si="7"/>
        <v>0</v>
      </c>
      <c r="X16" s="126">
        <f t="shared" si="8"/>
        <v>1</v>
      </c>
      <c r="Y16" s="98"/>
      <c r="Z16" s="220"/>
      <c r="AA16" s="91"/>
      <c r="AB16" s="37"/>
      <c r="AC16" s="170">
        <f t="shared" si="9"/>
        <v>11</v>
      </c>
      <c r="AD16" s="171">
        <f t="shared" si="10"/>
        <v>13.249999999883585</v>
      </c>
      <c r="AE16" s="172" t="str">
        <f t="shared" ref="AE16:AE21" si="15" xml:space="preserve">
IF(NOT(ISNUMBER(AD16)),"",
IF(AND(ROUND(L16,2)&gt;11,ROUND(AD16,2)&lt;11.5),"U",IF(ROUND(AD16,2)&lt;11,"U","")))</f>
        <v/>
      </c>
      <c r="AF16" s="28"/>
      <c r="AG16" s="41"/>
      <c r="AH16" s="77"/>
      <c r="AI16" s="78" t="s">
        <v>76</v>
      </c>
      <c r="AJ16" s="110">
        <f>SaldoMehrArb</f>
        <v>1</v>
      </c>
      <c r="AK16" s="165">
        <v>1</v>
      </c>
      <c r="AL16" s="158">
        <f>AJ16*AL13</f>
        <v>26</v>
      </c>
      <c r="AM16" s="145" t="s">
        <v>78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4" ht="33.75" customHeight="1" thickBot="1" x14ac:dyDescent="0.35">
      <c r="A17" s="93" t="str">
        <f t="shared" si="11"/>
        <v>Mittwoch</v>
      </c>
      <c r="B17" s="128">
        <f t="shared" ref="B17:B21" si="16">B16+1</f>
        <v>45833</v>
      </c>
      <c r="C17" s="122">
        <v>0.41666666666666669</v>
      </c>
      <c r="D17" s="122">
        <v>0.66666666666666663</v>
      </c>
      <c r="E17" s="105">
        <v>3.125E-2</v>
      </c>
      <c r="F17" s="105"/>
      <c r="G17" s="107">
        <f t="shared" si="0"/>
        <v>0.21874999999999994</v>
      </c>
      <c r="H17" s="123"/>
      <c r="I17" s="124" t="s">
        <v>85</v>
      </c>
      <c r="J17" s="124"/>
      <c r="K17" s="102">
        <f t="shared" si="12"/>
        <v>0.33333333333333331</v>
      </c>
      <c r="L17" s="103">
        <f t="shared" si="1"/>
        <v>8</v>
      </c>
      <c r="M17" s="144" t="str">
        <f t="shared" si="2"/>
        <v/>
      </c>
      <c r="N17" s="141">
        <f t="shared" si="3"/>
        <v>10</v>
      </c>
      <c r="O17" s="46" t="str">
        <f t="shared" si="13"/>
        <v/>
      </c>
      <c r="P17" s="46"/>
      <c r="Q17" s="47" t="str">
        <f t="shared" si="4"/>
        <v/>
      </c>
      <c r="R17" s="47" t="str">
        <f t="shared" si="5"/>
        <v/>
      </c>
      <c r="S17" s="139" t="str">
        <f t="shared" si="6"/>
        <v/>
      </c>
      <c r="T17" s="33"/>
      <c r="U17" s="47" t="str">
        <f t="shared" si="14"/>
        <v/>
      </c>
      <c r="V17" s="47" t="str">
        <f>IF(AND(SUM($X$15:X17)&gt;5,A17="Samstag",D17&lt;C17,W17&gt;0,W17-2&gt;0),-(VALUE(C17-D17+(C17&lt;D17))*24-HOUR(C17)),
IF(AND(SUM($X$15:X17)&gt;4,A17="Samstag",C17&gt;D17,),-(VALUE(D17-C17+(C17&lt;D17))*24),
IF(AND(SUM($X$15:X17)&gt;=5,A17="Sonntag",AC17&gt;0,(C17&lt;D17)),(D17-C17-E17)*24,
IF(AND(SUM($X$15:X17)&gt;=5,A17="Sonntag",AC17&gt;0,C17&gt;D17),(VALUE(D17-C17+(C17&gt;D17))*24-HOUR(D17)),
""))))</f>
        <v/>
      </c>
      <c r="W17" s="125">
        <f t="shared" si="7"/>
        <v>0</v>
      </c>
      <c r="X17" s="126">
        <f t="shared" si="8"/>
        <v>1</v>
      </c>
      <c r="Y17" s="98"/>
      <c r="Z17" s="220"/>
      <c r="AA17" s="91"/>
      <c r="AB17" s="37"/>
      <c r="AC17" s="170">
        <f t="shared" si="9"/>
        <v>5.2499999999999982</v>
      </c>
      <c r="AD17" s="171">
        <f t="shared" si="10"/>
        <v>14.416666666686069</v>
      </c>
      <c r="AE17" s="172" t="str">
        <f t="shared" si="15"/>
        <v/>
      </c>
      <c r="AF17" s="28"/>
      <c r="AG17" s="41"/>
      <c r="AH17" s="77"/>
      <c r="AI17" s="80" t="s">
        <v>77</v>
      </c>
      <c r="AJ17" s="110">
        <f>WocheOhneZwölfte</f>
        <v>1.3333333333333357</v>
      </c>
      <c r="AK17" s="165">
        <v>1</v>
      </c>
      <c r="AL17" s="158">
        <f>AJ17*$AL$13</f>
        <v>34.666666666666728</v>
      </c>
      <c r="AM17" s="76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4" ht="33.75" customHeight="1" thickBot="1" x14ac:dyDescent="0.35">
      <c r="A18" s="93" t="s">
        <v>25</v>
      </c>
      <c r="B18" s="128">
        <f t="shared" si="16"/>
        <v>45834</v>
      </c>
      <c r="C18" s="122">
        <v>0.2673611111111111</v>
      </c>
      <c r="D18" s="122">
        <v>0.73958333333333337</v>
      </c>
      <c r="E18" s="105">
        <v>3.125E-2</v>
      </c>
      <c r="F18" s="105"/>
      <c r="G18" s="107">
        <f t="shared" si="0"/>
        <v>0.44097222222222227</v>
      </c>
      <c r="H18" s="123"/>
      <c r="I18" s="124"/>
      <c r="J18" s="124"/>
      <c r="K18" s="102">
        <f t="shared" si="12"/>
        <v>0.44097222222222227</v>
      </c>
      <c r="L18" s="103">
        <f t="shared" si="1"/>
        <v>10.583333333333334</v>
      </c>
      <c r="M18" s="144" t="str">
        <f t="shared" si="2"/>
        <v/>
      </c>
      <c r="N18" s="141">
        <f t="shared" si="3"/>
        <v>10</v>
      </c>
      <c r="O18" s="46" t="str">
        <f t="shared" si="13"/>
        <v/>
      </c>
      <c r="P18" s="46"/>
      <c r="Q18" s="47">
        <f t="shared" si="4"/>
        <v>0.58333333333333393</v>
      </c>
      <c r="R18" s="47" t="str">
        <f t="shared" si="5"/>
        <v/>
      </c>
      <c r="S18" s="139" t="str">
        <f t="shared" si="6"/>
        <v/>
      </c>
      <c r="T18" s="33"/>
      <c r="U18" s="47" t="str">
        <f t="shared" si="14"/>
        <v/>
      </c>
      <c r="V18" s="47" t="str">
        <f>IF(AND(SUM($X$15:X18)&gt;5,A18="Samstag",D18&lt;C18,W18&gt;0,W18-2&gt;0),-(VALUE(C18-D18+(C18&lt;D18))*24-HOUR(C18)),
IF(AND(SUM($X$15:X18)&gt;4,A18="Samstag",C18&gt;D18,),-(VALUE(D18-C18+(C18&lt;D18))*24),
IF(AND(SUM($X$15:X18)&gt;=5,A18="Sonntag",AC18&gt;0,(C18&lt;D18)),(D18-C18-E18)*24,
IF(AND(SUM($X$15:X18)&gt;=5,A18="Sonntag",AC18&gt;0,C18&gt;D18),(VALUE(D18-C18+(C18&gt;D18))*24-HOUR(D18)),
""))))</f>
        <v/>
      </c>
      <c r="W18" s="125">
        <f t="shared" si="7"/>
        <v>0</v>
      </c>
      <c r="X18" s="126">
        <f t="shared" si="8"/>
        <v>1</v>
      </c>
      <c r="Y18" s="98"/>
      <c r="Z18" s="220"/>
      <c r="AA18" s="91"/>
      <c r="AB18" s="37"/>
      <c r="AC18" s="170">
        <f t="shared" si="9"/>
        <v>10.583333333333334</v>
      </c>
      <c r="AD18" s="171">
        <f t="shared" si="10"/>
        <v>17.25</v>
      </c>
      <c r="AE18" s="172" t="str">
        <f t="shared" si="15"/>
        <v/>
      </c>
      <c r="AF18" s="28"/>
      <c r="AG18" s="41"/>
      <c r="AH18" s="77"/>
      <c r="AI18" s="78" t="s">
        <v>81</v>
      </c>
      <c r="AJ18" s="110">
        <f>Saldo10Plus</f>
        <v>3.3333333333333339</v>
      </c>
      <c r="AK18" s="165">
        <v>0.25</v>
      </c>
      <c r="AL18" s="158">
        <f>$AL$13*AJ18*25%</f>
        <v>21.666666666666671</v>
      </c>
      <c r="AM18" s="76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4" ht="33.75" customHeight="1" thickBot="1" x14ac:dyDescent="0.35">
      <c r="A19" s="93" t="str">
        <f t="shared" si="11"/>
        <v>Freitag</v>
      </c>
      <c r="B19" s="128">
        <f t="shared" si="16"/>
        <v>45835</v>
      </c>
      <c r="C19" s="122">
        <v>0.45833333333333331</v>
      </c>
      <c r="D19" s="122">
        <v>0.98958333333333337</v>
      </c>
      <c r="E19" s="105">
        <v>3.125E-2</v>
      </c>
      <c r="F19" s="105"/>
      <c r="G19" s="107">
        <f t="shared" si="0"/>
        <v>0.5</v>
      </c>
      <c r="H19" s="123"/>
      <c r="I19" s="124"/>
      <c r="J19" s="124"/>
      <c r="K19" s="102">
        <f t="shared" si="12"/>
        <v>0.5</v>
      </c>
      <c r="L19" s="103">
        <f t="shared" si="1"/>
        <v>12</v>
      </c>
      <c r="M19" s="144" t="str">
        <f t="shared" si="2"/>
        <v/>
      </c>
      <c r="N19" s="141">
        <f t="shared" si="3"/>
        <v>10</v>
      </c>
      <c r="O19" s="46">
        <f t="shared" si="13"/>
        <v>1</v>
      </c>
      <c r="P19" s="46"/>
      <c r="Q19" s="47">
        <f t="shared" si="4"/>
        <v>1</v>
      </c>
      <c r="R19" s="47">
        <f t="shared" si="5"/>
        <v>1</v>
      </c>
      <c r="S19" s="139" t="str">
        <f t="shared" si="6"/>
        <v/>
      </c>
      <c r="T19" s="33"/>
      <c r="U19" s="47" t="str">
        <f t="shared" si="14"/>
        <v/>
      </c>
      <c r="V19" s="47" t="str">
        <f>IF(AND(SUM($X$15:X19)&gt;5,A19="Samstag",D19&lt;C19,W19&gt;0,W19-2&gt;0),-(VALUE(C19-D19+(C19&lt;D19))*24-HOUR(C19)),
IF(AND(SUM($X$15:X19)&gt;4,A19="Samstag",C19&gt;D19,),-(VALUE(D19-C19+(C19&lt;D19))*24),
IF(AND(SUM($X$15:X19)&gt;=5,A19="Sonntag",AC19&gt;0,(C19&lt;D19)),(D19-C19-E19)*24,
IF(AND(SUM($X$15:X19)&gt;=5,A19="Sonntag",AC19&gt;0,C19&gt;D19),(VALUE(D19-C19+(C19&gt;D19))*24-HOUR(D19)),
""))))</f>
        <v/>
      </c>
      <c r="W19" s="125">
        <f t="shared" si="7"/>
        <v>1.75</v>
      </c>
      <c r="X19" s="126">
        <f t="shared" si="8"/>
        <v>1</v>
      </c>
      <c r="Y19" s="98"/>
      <c r="Z19" s="220"/>
      <c r="AA19" s="91"/>
      <c r="AB19" s="37"/>
      <c r="AC19" s="170">
        <f t="shared" si="9"/>
        <v>12</v>
      </c>
      <c r="AD19" s="171" t="str">
        <f t="shared" si="10"/>
        <v/>
      </c>
      <c r="AE19" s="172" t="str">
        <f t="shared" si="15"/>
        <v/>
      </c>
      <c r="AF19" s="28"/>
      <c r="AG19" s="41"/>
      <c r="AH19" s="77"/>
      <c r="AI19" s="78" t="s">
        <v>82</v>
      </c>
      <c r="AJ19" s="110">
        <f>Saldo11plus</f>
        <v>1</v>
      </c>
      <c r="AK19" s="165">
        <v>0.5</v>
      </c>
      <c r="AL19" s="158">
        <f>AJ19*AL13*50%</f>
        <v>13</v>
      </c>
      <c r="AM19" s="76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4" ht="33.75" customHeight="1" thickBot="1" x14ac:dyDescent="0.35">
      <c r="A20" s="93" t="str">
        <f t="shared" si="11"/>
        <v>Samstag</v>
      </c>
      <c r="B20" s="128">
        <f t="shared" si="16"/>
        <v>45836</v>
      </c>
      <c r="C20" s="122"/>
      <c r="D20" s="122"/>
      <c r="E20" s="105"/>
      <c r="F20" s="105"/>
      <c r="G20" s="107">
        <f t="shared" si="0"/>
        <v>0</v>
      </c>
      <c r="H20" s="123"/>
      <c r="I20" s="124"/>
      <c r="J20" s="124"/>
      <c r="K20" s="102">
        <f t="shared" si="12"/>
        <v>0</v>
      </c>
      <c r="L20" s="103" t="str">
        <f t="shared" si="1"/>
        <v/>
      </c>
      <c r="M20" s="144" t="str">
        <f t="shared" si="2"/>
        <v/>
      </c>
      <c r="N20" s="141" t="str">
        <f t="shared" si="3"/>
        <v/>
      </c>
      <c r="O20" s="46" t="str">
        <f t="shared" si="13"/>
        <v/>
      </c>
      <c r="P20" s="46"/>
      <c r="Q20" s="47" t="str">
        <f t="shared" si="4"/>
        <v/>
      </c>
      <c r="R20" s="47" t="str">
        <f t="shared" si="5"/>
        <v/>
      </c>
      <c r="S20" s="139" t="str">
        <f t="shared" si="6"/>
        <v/>
      </c>
      <c r="T20" s="33"/>
      <c r="U20" s="47" t="str">
        <f t="shared" si="14"/>
        <v/>
      </c>
      <c r="V20" s="47" t="str">
        <f>IF(AND(SUM($X$15:X20)&gt;5,A20="Samstag",D20&lt;C20,W20&gt;0,W20-2&gt;0),-(VALUE(C20-D20+(C20&lt;D20))*24-HOUR(C20)),
IF(AND(SUM($X$15:X20)&gt;4,A20="Samstag",C20&gt;D20,),-(VALUE(D20-C20+(C20&lt;D20))*24),
IF(AND(SUM($X$15:X20)&gt;=5,A20="Sonntag",AC20&gt;0,(C20&lt;D20)),(D20-C20-E20)*24,
IF(AND(SUM($X$15:X20)&gt;=5,A20="Sonntag",AC20&gt;0,C20&gt;D20),(VALUE(D20-C20+(C20&gt;D20))*24-HOUR(D20)),
""))))</f>
        <v/>
      </c>
      <c r="W20" s="125">
        <f t="shared" si="7"/>
        <v>0</v>
      </c>
      <c r="X20" s="126" t="str">
        <f t="shared" si="8"/>
        <v/>
      </c>
      <c r="Y20" s="98"/>
      <c r="Z20" s="220"/>
      <c r="AA20" s="91"/>
      <c r="AB20" s="37"/>
      <c r="AC20" s="170">
        <f t="shared" si="9"/>
        <v>0</v>
      </c>
      <c r="AD20" s="171" t="str">
        <f t="shared" si="10"/>
        <v/>
      </c>
      <c r="AE20" s="172" t="str">
        <f t="shared" si="15"/>
        <v/>
      </c>
      <c r="AF20" s="28"/>
      <c r="AG20" s="41"/>
      <c r="AH20" s="77"/>
      <c r="AI20" s="78" t="s">
        <v>49</v>
      </c>
      <c r="AJ20" s="110">
        <f>SaldoNachtarbeit</f>
        <v>1.75</v>
      </c>
      <c r="AK20" s="165">
        <v>0.25</v>
      </c>
      <c r="AL20" s="158">
        <f>AL13*SaldoNachtarbeit*25%</f>
        <v>11.375</v>
      </c>
      <c r="AM20" s="76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4" ht="33.75" customHeight="1" thickBot="1" x14ac:dyDescent="0.35">
      <c r="A21" s="94" t="str">
        <f t="shared" si="11"/>
        <v>Sonntag</v>
      </c>
      <c r="B21" s="129">
        <f t="shared" si="16"/>
        <v>45837</v>
      </c>
      <c r="C21" s="133"/>
      <c r="D21" s="134"/>
      <c r="E21" s="106"/>
      <c r="F21" s="106"/>
      <c r="G21" s="107">
        <f t="shared" si="0"/>
        <v>0</v>
      </c>
      <c r="H21" s="135"/>
      <c r="I21" s="99"/>
      <c r="J21" s="99"/>
      <c r="K21" s="109">
        <f t="shared" si="12"/>
        <v>0</v>
      </c>
      <c r="L21" s="103" t="str">
        <f t="shared" si="1"/>
        <v/>
      </c>
      <c r="M21" s="144" t="str">
        <f t="shared" si="2"/>
        <v/>
      </c>
      <c r="N21" s="141" t="str">
        <f t="shared" si="3"/>
        <v/>
      </c>
      <c r="O21" s="46" t="str">
        <f t="shared" si="13"/>
        <v/>
      </c>
      <c r="P21" s="46"/>
      <c r="Q21" s="47" t="str">
        <f t="shared" si="4"/>
        <v/>
      </c>
      <c r="R21" s="47" t="str">
        <f t="shared" si="5"/>
        <v/>
      </c>
      <c r="S21" s="139" t="str">
        <f t="shared" si="6"/>
        <v/>
      </c>
      <c r="T21" s="59"/>
      <c r="U21" s="60" t="str">
        <f t="shared" si="14"/>
        <v/>
      </c>
      <c r="V21" s="60" t="str">
        <f>IF(AND(SUM($X$15:X21)&gt;5,A21="Samstag",D21&lt;C21,W21&gt;0,W21-2&gt;0),-(VALUE(C21-D21+(C21&lt;D21))*24-HOUR(C21)),
IF(AND(SUM($X$15:X21)&gt;4,A21="Samstag",C21&gt;D21,),-(VALUE(D21-C21+(C21&lt;D21))*24),
IF(AND(SUM($X$15:X21)&gt;=5,A21="Sonntag",AC21&gt;0,(C21&lt;D21)),(D21-C21-E21)*24,
IF(AND(SUM($X$15:X21)&gt;=5,A21="Sonntag",AC21&gt;0,C21&gt;D21),(VALUE(D21-C21+(C21&gt;D21))*24-HOUR(D21)),
""))))</f>
        <v/>
      </c>
      <c r="W21" s="136">
        <f t="shared" si="7"/>
        <v>0</v>
      </c>
      <c r="X21" s="126" t="str">
        <f t="shared" si="8"/>
        <v/>
      </c>
      <c r="Y21" s="100"/>
      <c r="Z21" s="220"/>
      <c r="AA21" s="91"/>
      <c r="AB21" s="65"/>
      <c r="AC21" s="29">
        <f t="shared" si="9"/>
        <v>0</v>
      </c>
      <c r="AD21" s="30" t="str">
        <f xml:space="preserve">
IF(AND(C21&gt;0,C23&gt;0),
IF(AND(C23&gt;0,NOT(ISERROR(HOUR((VALUE(C23+B23))-VALUE(G21+C21+B21+E21))))),
((VALUE(C23+B23))-VALUE(G21+C21+B21+E21))*24,"???"),"")</f>
        <v/>
      </c>
      <c r="AE21" s="173" t="str">
        <f t="shared" si="15"/>
        <v/>
      </c>
      <c r="AF21" s="31"/>
      <c r="AG21" s="41"/>
      <c r="AH21" s="77"/>
      <c r="AI21" s="78" t="s">
        <v>50</v>
      </c>
      <c r="AJ21" s="110">
        <f>SaldoSaArbeit</f>
        <v>0</v>
      </c>
      <c r="AK21" s="165">
        <v>0.25</v>
      </c>
      <c r="AL21" s="158">
        <f>SaldoSaArbeit*AL13*25%</f>
        <v>0</v>
      </c>
      <c r="AM21" s="76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4" ht="21.75" customHeight="1" thickBot="1" x14ac:dyDescent="0.3">
      <c r="A22" s="202"/>
      <c r="B22" s="203"/>
      <c r="C22" s="204"/>
      <c r="D22" s="204"/>
      <c r="E22" s="205"/>
      <c r="F22" s="205"/>
      <c r="G22" s="206"/>
      <c r="H22" s="207"/>
      <c r="I22" s="208"/>
      <c r="J22" s="208"/>
      <c r="K22" s="209"/>
      <c r="L22" s="210"/>
      <c r="M22" s="210"/>
      <c r="N22" s="211"/>
      <c r="O22" s="212" t="str">
        <f>IF(SUMIF(AnzahlTage,"S",StundenAlles)&gt;0,"Hinweis: In Spalte Mehrarbeit sind "&amp;SUMIF(AnzahlTage,"S",StundenAlles)&amp;" Stunden aus Einzelstunden enthalten","")</f>
        <v/>
      </c>
      <c r="P22" s="213"/>
      <c r="Q22" s="213"/>
      <c r="R22" s="213"/>
      <c r="S22" s="214"/>
      <c r="T22" s="179"/>
      <c r="U22" s="215"/>
      <c r="V22" s="215"/>
      <c r="W22" s="216"/>
      <c r="X22" s="217"/>
      <c r="Y22" s="218"/>
      <c r="Z22" s="220"/>
      <c r="AA22" s="91"/>
      <c r="AB22" s="66"/>
      <c r="AC22" s="66"/>
      <c r="AD22" s="66"/>
      <c r="AE22" s="66"/>
      <c r="AF22" s="41"/>
      <c r="AG22" s="41"/>
      <c r="AH22" s="77"/>
      <c r="AI22" s="78" t="s">
        <v>51</v>
      </c>
      <c r="AJ22" s="110">
        <f>SaldoSoArbeit</f>
        <v>0</v>
      </c>
      <c r="AK22" s="165">
        <v>0.75</v>
      </c>
      <c r="AL22" s="158">
        <f>AL13*SaldoSoArbeit*75%</f>
        <v>0</v>
      </c>
      <c r="AM22" s="76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4" ht="15.75" customHeight="1" thickBot="1" x14ac:dyDescent="0.3">
      <c r="A23" s="202"/>
      <c r="B23" s="203"/>
      <c r="C23" s="203"/>
      <c r="D23" s="203"/>
      <c r="E23" s="203"/>
      <c r="F23" s="203"/>
      <c r="G23" s="179"/>
      <c r="H23" s="179"/>
      <c r="I23" s="219"/>
      <c r="J23" s="179"/>
      <c r="K23" s="177"/>
      <c r="L23" s="179"/>
      <c r="M23" s="179"/>
      <c r="N23" s="179"/>
      <c r="O23" s="256" t="s">
        <v>43</v>
      </c>
      <c r="P23" s="257"/>
      <c r="Q23" s="258" t="s">
        <v>61</v>
      </c>
      <c r="R23" s="258"/>
      <c r="S23" s="258"/>
      <c r="T23" s="258"/>
      <c r="U23" s="258"/>
      <c r="V23" s="258"/>
      <c r="W23" s="259"/>
      <c r="X23" s="179"/>
      <c r="Y23" s="220"/>
      <c r="Z23" s="220"/>
      <c r="AA23" s="91"/>
      <c r="AB23" s="32"/>
      <c r="AC23" s="27">
        <f>SUM(AC15:AC21)</f>
        <v>49.583333333333336</v>
      </c>
      <c r="AD23" s="27"/>
      <c r="AE23" s="27"/>
      <c r="AF23" s="41"/>
      <c r="AG23" s="41"/>
      <c r="AH23" s="77"/>
      <c r="AI23" s="78"/>
      <c r="AJ23" s="110"/>
      <c r="AK23" s="165"/>
      <c r="AL23" s="158"/>
      <c r="AM23" s="76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4" ht="22.5" customHeight="1" thickBot="1" x14ac:dyDescent="0.3">
      <c r="A24" s="179"/>
      <c r="B24" s="179"/>
      <c r="C24" s="179"/>
      <c r="D24" s="179"/>
      <c r="E24" s="179"/>
      <c r="F24" s="203"/>
      <c r="G24" s="179"/>
      <c r="H24" s="179"/>
      <c r="I24" s="221" t="s">
        <v>58</v>
      </c>
      <c r="J24" s="203"/>
      <c r="K24" s="87"/>
      <c r="L24" s="101" t="s">
        <v>19</v>
      </c>
      <c r="M24" s="143"/>
      <c r="N24" s="54" t="s">
        <v>69</v>
      </c>
      <c r="O24" s="155" t="s">
        <v>75</v>
      </c>
      <c r="P24" s="155" t="s">
        <v>5</v>
      </c>
      <c r="Q24" s="88">
        <v>0.25</v>
      </c>
      <c r="R24" s="114">
        <v>0.5</v>
      </c>
      <c r="S24" s="88"/>
      <c r="T24" s="88">
        <v>1</v>
      </c>
      <c r="U24" s="88">
        <v>0.25</v>
      </c>
      <c r="V24" s="88">
        <v>0.75</v>
      </c>
      <c r="W24" s="88">
        <v>0.25</v>
      </c>
      <c r="X24" s="89" t="s">
        <v>14</v>
      </c>
      <c r="Y24" s="273" t="s">
        <v>9</v>
      </c>
      <c r="Z24" s="220"/>
      <c r="AA24" s="91"/>
      <c r="AB24" s="32"/>
      <c r="AD24" s="27"/>
      <c r="AE24" s="27"/>
      <c r="AF24" s="27"/>
      <c r="AG24" s="41"/>
      <c r="AH24" s="77"/>
      <c r="AI24" s="78" t="s">
        <v>54</v>
      </c>
      <c r="AJ24" s="110">
        <f>SaldoZus100</f>
        <v>0</v>
      </c>
      <c r="AK24" s="165"/>
      <c r="AL24" s="159">
        <f>SaldoZus100*AL13</f>
        <v>0</v>
      </c>
      <c r="AM24" s="76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4" ht="16.5" customHeight="1" thickBot="1" x14ac:dyDescent="0.3">
      <c r="A25" s="179"/>
      <c r="B25" s="179"/>
      <c r="C25" s="179"/>
      <c r="D25" s="179"/>
      <c r="E25" s="179"/>
      <c r="F25" s="203"/>
      <c r="G25" s="179"/>
      <c r="H25" s="177"/>
      <c r="I25" s="222" t="s">
        <v>68</v>
      </c>
      <c r="J25" s="179"/>
      <c r="K25" s="115"/>
      <c r="L25" s="116">
        <f>SUM(L15:L24)</f>
        <v>52.333333333333336</v>
      </c>
      <c r="M25" s="116"/>
      <c r="N25" s="140">
        <f>SUM(N15:N21)</f>
        <v>50</v>
      </c>
      <c r="O25" s="140">
        <f>SUM(O15:O21)</f>
        <v>1</v>
      </c>
      <c r="P25" s="118">
        <f>IF(L25-N25-SaldoMehrArb&gt;0,L25-N25-SaldoMehrArb,0)</f>
        <v>1.3333333333333357</v>
      </c>
      <c r="Q25" s="119">
        <f>SUM(Q15:Q21)</f>
        <v>3.3333333333333339</v>
      </c>
      <c r="R25" s="119">
        <f>SUM(R15:R21)</f>
        <v>1</v>
      </c>
      <c r="S25" s="120">
        <f t="shared" ref="S25:W25" si="17">SUM(S15:S21)</f>
        <v>0</v>
      </c>
      <c r="T25" s="117">
        <f t="shared" si="17"/>
        <v>0</v>
      </c>
      <c r="U25" s="117">
        <f t="shared" si="17"/>
        <v>0</v>
      </c>
      <c r="V25" s="117">
        <f t="shared" si="17"/>
        <v>0</v>
      </c>
      <c r="W25" s="116">
        <f t="shared" si="17"/>
        <v>1.75</v>
      </c>
      <c r="X25" s="121">
        <f>SUM(AnzahlTage)</f>
        <v>5</v>
      </c>
      <c r="Y25" s="274"/>
      <c r="Z25" s="220"/>
      <c r="AA25" s="91"/>
      <c r="AB25" s="4"/>
      <c r="AC25" s="21" t="str">
        <f>IF(COUNTIF(AE15:AE21,"U")&gt;0,"* U = Unterstunden vorhanden","")</f>
        <v/>
      </c>
      <c r="AE25" s="11"/>
      <c r="AF25" s="11"/>
      <c r="AG25" s="27"/>
      <c r="AH25" s="77"/>
      <c r="AI25" s="78" t="s">
        <v>37</v>
      </c>
      <c r="AJ25" s="110"/>
      <c r="AK25" s="163"/>
      <c r="AL25" s="158">
        <f>SUM(AL14:AL24)</f>
        <v>1406.7083333333335</v>
      </c>
      <c r="AM25" s="76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4" ht="9" customHeight="1" x14ac:dyDescent="0.2">
      <c r="A26" s="179"/>
      <c r="B26" s="179"/>
      <c r="C26" s="179"/>
      <c r="D26" s="179"/>
      <c r="E26" s="179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177"/>
      <c r="Z26" s="203"/>
      <c r="AA26" s="90"/>
      <c r="AB26" s="4"/>
      <c r="AC26" s="11"/>
      <c r="AD26" s="21"/>
      <c r="AE26" s="11"/>
      <c r="AF26" s="11"/>
      <c r="AG26" s="11"/>
      <c r="AH26" s="79"/>
      <c r="AI26" s="11"/>
      <c r="AJ26" s="81"/>
      <c r="AK26" s="164"/>
      <c r="AL26" s="160"/>
      <c r="AM26" s="76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4" ht="18.75" customHeight="1" x14ac:dyDescent="0.25">
      <c r="A27" s="177" t="s">
        <v>2</v>
      </c>
      <c r="B27" s="232"/>
      <c r="C27" s="233"/>
      <c r="D27" s="185"/>
      <c r="E27" s="185"/>
      <c r="F27" s="185"/>
      <c r="G27" s="185"/>
      <c r="H27" s="185"/>
      <c r="I27" s="185"/>
      <c r="J27" s="185"/>
      <c r="K27" s="177"/>
      <c r="L27" s="179"/>
      <c r="M27" s="179"/>
      <c r="N27" s="179"/>
      <c r="O27" s="177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220"/>
      <c r="AA27" s="90"/>
      <c r="AB27" s="4"/>
      <c r="AC27" s="11"/>
      <c r="AD27" s="21"/>
      <c r="AE27" s="11"/>
      <c r="AF27" s="11"/>
      <c r="AG27" s="11"/>
      <c r="AH27" s="79"/>
      <c r="AI27" s="78" t="s">
        <v>52</v>
      </c>
      <c r="AJ27" s="80"/>
      <c r="AK27" s="80"/>
      <c r="AL27" s="161">
        <f>SUM(AL16:AL24)</f>
        <v>106.7083333333334</v>
      </c>
      <c r="AM27" s="76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4" ht="12" customHeight="1" x14ac:dyDescent="0.2">
      <c r="A28" s="179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220"/>
      <c r="AA28" s="90"/>
      <c r="AB28" s="4"/>
      <c r="AC28" s="11"/>
      <c r="AD28" s="21"/>
      <c r="AE28" s="11"/>
      <c r="AF28" s="11"/>
      <c r="AG28" s="4"/>
      <c r="AH28" s="82"/>
      <c r="AI28" s="78" t="s">
        <v>53</v>
      </c>
      <c r="AJ28" s="80"/>
      <c r="AK28" s="80"/>
      <c r="AL28" s="162">
        <f>IF(X25&gt;5,AL11/5*(X25-5),0)</f>
        <v>0</v>
      </c>
      <c r="AM28" s="72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4" ht="18" customHeight="1" x14ac:dyDescent="0.25">
      <c r="A29" s="223" t="s">
        <v>59</v>
      </c>
      <c r="B29" s="185"/>
      <c r="C29" s="185"/>
      <c r="D29" s="177"/>
      <c r="E29" s="177"/>
      <c r="F29" s="232"/>
      <c r="G29" s="233"/>
      <c r="H29" s="263"/>
      <c r="I29" s="263"/>
      <c r="J29" s="263"/>
      <c r="K29" s="185"/>
      <c r="L29" s="185"/>
      <c r="M29" s="185"/>
      <c r="N29" s="185"/>
      <c r="O29" s="185"/>
      <c r="P29" s="185"/>
      <c r="Q29" s="224" t="s">
        <v>6</v>
      </c>
      <c r="R29" s="224"/>
      <c r="S29" s="224"/>
      <c r="T29" s="264"/>
      <c r="U29" s="265"/>
      <c r="V29" s="265"/>
      <c r="W29" s="265"/>
      <c r="X29" s="265"/>
      <c r="Y29" s="265"/>
      <c r="Z29" s="220"/>
      <c r="AA29" s="91"/>
      <c r="AB29" s="4"/>
      <c r="AC29" s="4"/>
      <c r="AD29" s="4"/>
      <c r="AE29" s="4"/>
      <c r="AF29" s="4"/>
      <c r="AG29" s="4"/>
      <c r="AH29" s="82"/>
      <c r="AI29" s="78" t="s">
        <v>37</v>
      </c>
      <c r="AJ29" s="78"/>
      <c r="AK29" s="78"/>
      <c r="AL29" s="158">
        <f>SUM(AL27:AL28)</f>
        <v>106.7083333333334</v>
      </c>
      <c r="AM29" s="72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4" ht="26.25" customHeight="1" x14ac:dyDescent="0.25">
      <c r="A30" s="179"/>
      <c r="B30" s="185"/>
      <c r="C30" s="185"/>
      <c r="D30" s="185"/>
      <c r="E30" s="225"/>
      <c r="F30" s="225"/>
      <c r="G30" s="225"/>
      <c r="H30" s="185"/>
      <c r="I30" s="225"/>
      <c r="J30" s="225"/>
      <c r="K30" s="185"/>
      <c r="L30" s="185"/>
      <c r="M30" s="185"/>
      <c r="N30" s="185"/>
      <c r="O30" s="185"/>
      <c r="P30" s="185"/>
      <c r="Q30" s="224"/>
      <c r="R30" s="224"/>
      <c r="S30" s="224"/>
      <c r="T30" s="224"/>
      <c r="U30" s="224"/>
      <c r="V30" s="224"/>
      <c r="W30" s="224"/>
      <c r="X30" s="224"/>
      <c r="Y30" s="179"/>
      <c r="Z30" s="220"/>
      <c r="AA30" s="91"/>
      <c r="AB30" s="4"/>
      <c r="AC30" s="4"/>
      <c r="AD30" s="4"/>
      <c r="AE30" s="4"/>
      <c r="AF30" s="4"/>
      <c r="AG30" s="4"/>
      <c r="AH30" s="83"/>
      <c r="AI30" s="86"/>
      <c r="AJ30" s="86"/>
      <c r="AK30" s="86"/>
      <c r="AL30" s="86"/>
      <c r="AM30" s="8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1:54" ht="15.75" customHeight="1" x14ac:dyDescent="0.2">
      <c r="A31" s="226"/>
      <c r="B31" s="227" t="s">
        <v>7</v>
      </c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30"/>
      <c r="AA31" s="91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1:54" x14ac:dyDescent="0.2">
      <c r="A32" s="228"/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230"/>
      <c r="AA32" s="8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1:54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8"/>
      <c r="AA33" s="8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1:54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1:54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1:54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</row>
    <row r="37" spans="1:54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1:54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1:54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54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</sheetData>
  <sheetProtection algorithmName="SHA-512" hashValue="J1+tJ4hCwyhiLiJz0/i9hMwKBqRNyGhy4L+kZPDeQKKBWluMFjHkcNmTzzeQtLCRfzHBOpuwPRX23m2hCdXFDw==" saltValue="x112xOnVgATc1HBFEKTlJQ==" spinCount="100000" sheet="1" objects="1" scenarios="1"/>
  <mergeCells count="22">
    <mergeCell ref="F29:J29"/>
    <mergeCell ref="T29:Y29"/>
    <mergeCell ref="AB9:AF9"/>
    <mergeCell ref="Q11:W11"/>
    <mergeCell ref="AB12:AC12"/>
    <mergeCell ref="AD12:AE12"/>
    <mergeCell ref="AB13:AC13"/>
    <mergeCell ref="Y24:Y25"/>
    <mergeCell ref="B27:C27"/>
    <mergeCell ref="H8:R10"/>
    <mergeCell ref="C13:D13"/>
    <mergeCell ref="B1:G1"/>
    <mergeCell ref="L1:W1"/>
    <mergeCell ref="B3:E3"/>
    <mergeCell ref="B5:E5"/>
    <mergeCell ref="C7:D7"/>
    <mergeCell ref="F7:G7"/>
    <mergeCell ref="L4:Z5"/>
    <mergeCell ref="O23:P23"/>
    <mergeCell ref="Q23:W23"/>
    <mergeCell ref="O11:P11"/>
    <mergeCell ref="L11:N11"/>
  </mergeCells>
  <conditionalFormatting sqref="G15:G22">
    <cfRule type="cellIs" dxfId="6" priority="12" operator="greaterThan">
      <formula>13</formula>
    </cfRule>
  </conditionalFormatting>
  <conditionalFormatting sqref="K15:K22 K24:K25">
    <cfRule type="cellIs" dxfId="5" priority="3" operator="lessThan">
      <formula>0</formula>
    </cfRule>
  </conditionalFormatting>
  <conditionalFormatting sqref="K15:K22">
    <cfRule type="cellIs" dxfId="4" priority="4" operator="lessThan">
      <formula>0</formula>
    </cfRule>
  </conditionalFormatting>
  <conditionalFormatting sqref="N25:O25 Q25:R25 T25:W25">
    <cfRule type="cellIs" dxfId="3" priority="5" operator="equal">
      <formula>0</formula>
    </cfRule>
  </conditionalFormatting>
  <conditionalFormatting sqref="O15:O21">
    <cfRule type="expression" dxfId="2" priority="1">
      <formula>AND(ISNUMBER($L15),L15&gt;=13)</formula>
    </cfRule>
  </conditionalFormatting>
  <conditionalFormatting sqref="X15:X22">
    <cfRule type="cellIs" dxfId="1" priority="6" operator="greaterThan">
      <formula>0</formula>
    </cfRule>
  </conditionalFormatting>
  <conditionalFormatting sqref="AD15:AD21">
    <cfRule type="cellIs" dxfId="0" priority="8" operator="lessThan">
      <formula>11</formula>
    </cfRule>
  </conditionalFormatting>
  <pageMargins left="0.25" right="0.25" top="0.75" bottom="0.75" header="0.3" footer="0.3"/>
  <pageSetup paperSize="9" scale="82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6267B38F92BA4DB2946DCFD7C6E90A" ma:contentTypeVersion="12" ma:contentTypeDescription="Ein neues Dokument erstellen." ma:contentTypeScope="" ma:versionID="620a17fc452f4c317b3700653916e57e">
  <xsd:schema xmlns:xsd="http://www.w3.org/2001/XMLSchema" xmlns:xs="http://www.w3.org/2001/XMLSchema" xmlns:p="http://schemas.microsoft.com/office/2006/metadata/properties" xmlns:ns2="3e3948d8-aa47-4cc5-a14d-615fd1d1c958" xmlns:ns3="20bc301c-a10d-451a-a91f-81e8471607b5" targetNamespace="http://schemas.microsoft.com/office/2006/metadata/properties" ma:root="true" ma:fieldsID="576c0f9c202252755f6e28068c35b0bb" ns2:_="" ns3:_="">
    <xsd:import namespace="3e3948d8-aa47-4cc5-a14d-615fd1d1c958"/>
    <xsd:import namespace="20bc301c-a10d-451a-a91f-81e847160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948d8-aa47-4cc5-a14d-615fd1d1c9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d612ae0-9535-41e8-89be-c4bdac7950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c301c-a10d-451a-a91f-81e8471607b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3948d8-aa47-4cc5-a14d-615fd1d1c9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5D2032-908D-4ACB-9708-DD87FCF3AF8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3948d8-aa47-4cc5-a14d-615fd1d1c958"/>
    <ds:schemaRef ds:uri="20bc301c-a10d-451a-a91f-81e8471607b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69E24-BD8A-42C6-B03A-F5E8160CF8B8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20bc301c-a10d-451a-a91f-81e8471607b5"/>
    <ds:schemaRef ds:uri="3e3948d8-aa47-4cc5-a14d-615fd1d1c958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4F6EF8A-4080-4E6C-BE47-233D1A0DE3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28</vt:i4>
      </vt:variant>
    </vt:vector>
  </HeadingPairs>
  <TitlesOfParts>
    <vt:vector size="29" baseType="lpstr">
      <vt:lpstr>Eingabe</vt:lpstr>
      <vt:lpstr>Eingabe!AnzahlTage</vt:lpstr>
      <vt:lpstr>AusWahl1</vt:lpstr>
      <vt:lpstr>AusWahl2</vt:lpstr>
      <vt:lpstr>Eingabe!DatumBis</vt:lpstr>
      <vt:lpstr>Eingabe!DatumVon</vt:lpstr>
      <vt:lpstr>Eingabe!Druckbereich</vt:lpstr>
      <vt:lpstr>FahrtOvertime</vt:lpstr>
      <vt:lpstr>FahrtZuschläge</vt:lpstr>
      <vt:lpstr>Eingabe!Fahrzeiten</vt:lpstr>
      <vt:lpstr>Eingabe!GearbeiteteTage</vt:lpstr>
      <vt:lpstr>MehrarbeitAlles</vt:lpstr>
      <vt:lpstr>Eingabe!Regel</vt:lpstr>
      <vt:lpstr>Eingabe!Saldo10Plus</vt:lpstr>
      <vt:lpstr>Eingabe!Saldo11plus</vt:lpstr>
      <vt:lpstr>SaldoKlärung</vt:lpstr>
      <vt:lpstr>Eingabe!SaldoMehrArb</vt:lpstr>
      <vt:lpstr>Eingabe!SaldoNachtarbeit</vt:lpstr>
      <vt:lpstr>Eingabe!SaldoSaArbeit</vt:lpstr>
      <vt:lpstr>Eingabe!SaldoSoArbeit</vt:lpstr>
      <vt:lpstr>Eingabe!SaldoZus100</vt:lpstr>
      <vt:lpstr>StundenAlles</vt:lpstr>
      <vt:lpstr>StundenSaldo</vt:lpstr>
      <vt:lpstr>StundenSaldo1</vt:lpstr>
      <vt:lpstr>TageGearbeitet</vt:lpstr>
      <vt:lpstr>Eingabe!TagesMehrStunden</vt:lpstr>
      <vt:lpstr>Eingabe!Tagesstunden</vt:lpstr>
      <vt:lpstr>Eingabe!Wochenstunden</vt:lpstr>
      <vt:lpstr>WocheOhneZwölfte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Garnatz</cp:lastModifiedBy>
  <cp:lastPrinted>2025-08-06T14:42:00Z</cp:lastPrinted>
  <dcterms:created xsi:type="dcterms:W3CDTF">2014-02-13T11:33:00Z</dcterms:created>
  <dcterms:modified xsi:type="dcterms:W3CDTF">2025-08-06T15:17:51Z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0x0101007E6267B38F92BA4DB2946DCFD7C6E90A</vt:lpwstr>
  </property>
  <property fmtid="{D5CDD505-2E9C-101B-9397-08002B2CF9AE}" pid="3" name="MediaServiceImageTags">
    <vt:lpwstr/>
  </property>
</Properties>
</file>